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sh\Desktop\"/>
    </mc:Choice>
  </mc:AlternateContent>
  <bookViews>
    <workbookView xWindow="0" yWindow="0" windowWidth="23040" windowHeight="9780"/>
  </bookViews>
  <sheets>
    <sheet name="Enter Details" sheetId="1" r:id="rId1"/>
    <sheet name="Door Details" sheetId="2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E2" i="3" l="1"/>
  <c r="U19" i="2" l="1"/>
  <c r="X19" i="2" s="1"/>
  <c r="U20" i="2"/>
  <c r="X20" i="2" s="1"/>
  <c r="U21" i="2"/>
  <c r="X21" i="2" s="1"/>
  <c r="U22" i="2"/>
  <c r="X22" i="2" s="1"/>
  <c r="U23" i="2"/>
  <c r="X23" i="2" s="1"/>
  <c r="U24" i="2"/>
  <c r="X24" i="2" s="1"/>
  <c r="U25" i="2"/>
  <c r="X25" i="2" s="1"/>
  <c r="U26" i="2"/>
  <c r="X26" i="2" s="1"/>
  <c r="U27" i="2"/>
  <c r="X27" i="2" s="1"/>
  <c r="U28" i="2"/>
  <c r="X28" i="2" s="1"/>
  <c r="U29" i="2"/>
  <c r="X29" i="2" s="1"/>
  <c r="U30" i="2"/>
  <c r="X30" i="2" s="1"/>
  <c r="U31" i="2"/>
  <c r="X31" i="2" s="1"/>
  <c r="U18" i="2"/>
  <c r="X18" i="2" s="1"/>
  <c r="S32" i="2" l="1"/>
  <c r="S28" i="2" l="1"/>
  <c r="V29" i="2" l="1"/>
  <c r="Y29" i="2" s="1"/>
  <c r="V30" i="2"/>
  <c r="Y30" i="2" s="1"/>
  <c r="S31" i="2"/>
  <c r="Q31" i="2"/>
  <c r="R26" i="2"/>
  <c r="T26" i="2" s="1"/>
  <c r="V26" i="2" s="1"/>
  <c r="R25" i="2"/>
  <c r="T25" i="2" s="1"/>
  <c r="V25" i="2" s="1"/>
  <c r="V32" i="2"/>
  <c r="Q32" i="2"/>
  <c r="U32" i="2" s="1"/>
  <c r="X32" i="2" s="1"/>
  <c r="V28" i="2"/>
  <c r="Q28" i="2"/>
  <c r="S27" i="2"/>
  <c r="V27" i="2" s="1"/>
  <c r="Y32" i="2" l="1"/>
  <c r="W32" i="2"/>
  <c r="Y28" i="2"/>
  <c r="Y26" i="2"/>
  <c r="Y25" i="2"/>
  <c r="Y27" i="2"/>
  <c r="Q24" i="2"/>
  <c r="Q23" i="2"/>
  <c r="K27" i="2"/>
  <c r="B36" i="1"/>
  <c r="K16" i="2" s="1"/>
  <c r="B37" i="1"/>
  <c r="B26" i="2" s="1"/>
  <c r="H26" i="2" s="1"/>
  <c r="R20" i="2" s="1"/>
  <c r="T20" i="2" s="1"/>
  <c r="V20" i="2" l="1"/>
  <c r="Y20" i="2" s="1"/>
  <c r="D7" i="3"/>
  <c r="B7" i="3"/>
  <c r="C7" i="3"/>
  <c r="K7" i="3"/>
  <c r="S24" i="2"/>
  <c r="M2" i="3"/>
  <c r="R22" i="2"/>
  <c r="T22" i="2" s="1"/>
  <c r="V22" i="2" s="1"/>
  <c r="Y22" i="2" s="1"/>
  <c r="R23" i="2"/>
  <c r="T23" i="2" s="1"/>
  <c r="V23" i="2" s="1"/>
  <c r="R21" i="2"/>
  <c r="T21" i="2" s="1"/>
  <c r="V21" i="2" s="1"/>
  <c r="Y21" i="2" s="1"/>
  <c r="E17" i="2"/>
  <c r="N21" i="2" l="1"/>
  <c r="Y23" i="2"/>
  <c r="R18" i="2"/>
  <c r="E25" i="2"/>
  <c r="R31" i="2" s="1"/>
  <c r="T31" i="2" s="1"/>
  <c r="V31" i="2" s="1"/>
  <c r="Y31" i="2" s="1"/>
  <c r="E36" i="2"/>
  <c r="T18" i="2" l="1"/>
  <c r="V18" i="2" s="1"/>
  <c r="Y18" i="2" s="1"/>
  <c r="R19" i="2"/>
  <c r="T19" i="2" s="1"/>
  <c r="V19" i="2" s="1"/>
  <c r="Y19" i="2" s="1"/>
  <c r="R24" i="2"/>
  <c r="T24" i="2" s="1"/>
  <c r="V24" i="2" s="1"/>
  <c r="Y24" i="2" s="1"/>
  <c r="Y33" i="2" l="1"/>
</calcChain>
</file>

<file path=xl/sharedStrings.xml><?xml version="1.0" encoding="utf-8"?>
<sst xmlns="http://schemas.openxmlformats.org/spreadsheetml/2006/main" count="304" uniqueCount="101">
  <si>
    <t>Enter Cabinet details (In to in measurements in mm)</t>
  </si>
  <si>
    <t>Height:</t>
  </si>
  <si>
    <t>Width:</t>
  </si>
  <si>
    <t>Type:</t>
  </si>
  <si>
    <t>014.020.03249</t>
  </si>
  <si>
    <t>014.020.03251</t>
  </si>
  <si>
    <t>014.020.03245</t>
  </si>
  <si>
    <t>Shutter Size:</t>
  </si>
  <si>
    <t>Glass Size</t>
  </si>
  <si>
    <t>Pcs:</t>
  </si>
  <si>
    <t>Sr. no</t>
  </si>
  <si>
    <t>Description</t>
  </si>
  <si>
    <t>Cut Size</t>
  </si>
  <si>
    <t>Quantity</t>
  </si>
  <si>
    <t>Total Length</t>
  </si>
  <si>
    <t>Qty in pcs</t>
  </si>
  <si>
    <t>Article Code</t>
  </si>
  <si>
    <t>Glass:</t>
  </si>
  <si>
    <t>4mm</t>
  </si>
  <si>
    <t>6mm</t>
  </si>
  <si>
    <t>In out sealing brush, back grey</t>
  </si>
  <si>
    <t>In out sealing brush, short</t>
  </si>
  <si>
    <t>014.003.03257</t>
  </si>
  <si>
    <t>014.003.03256</t>
  </si>
  <si>
    <t>MU GB 008 - 4 mm glass,In out</t>
  </si>
  <si>
    <t>MU GB 007 - 6 mm glass,In out</t>
  </si>
  <si>
    <t>014.003.03255</t>
  </si>
  <si>
    <t>014.003.03254</t>
  </si>
  <si>
    <t>List of profiles: (For 2 doors)</t>
  </si>
  <si>
    <t>In out Upper horizontal profile, 3m</t>
  </si>
  <si>
    <t>MRP</t>
  </si>
  <si>
    <t>Soft Close:</t>
  </si>
  <si>
    <t>One Side</t>
  </si>
  <si>
    <t>Two Side</t>
  </si>
  <si>
    <t>In Out Self Tapping Screws 6.5*50</t>
  </si>
  <si>
    <t>-</t>
  </si>
  <si>
    <t>034.001.03259</t>
  </si>
  <si>
    <t>Soft Close Weight Capacity:</t>
  </si>
  <si>
    <t>50kg</t>
  </si>
  <si>
    <t>100kg</t>
  </si>
  <si>
    <t>In Out Bottom Roller Set</t>
  </si>
  <si>
    <t>In Out Top Roller Set</t>
  </si>
  <si>
    <t>In out Bottom profile, 3m</t>
  </si>
  <si>
    <t>In Out Top Double Track,3m</t>
  </si>
  <si>
    <t>In Out Bottom Double Track,3m</t>
  </si>
  <si>
    <t>In Out Soft Close System 100kg</t>
  </si>
  <si>
    <t>In Out Soft Close System 50kg</t>
  </si>
  <si>
    <t>Horizontal Divider Profile,3m</t>
  </si>
  <si>
    <t>In Out Door Stopper</t>
  </si>
  <si>
    <t>014.020.03250</t>
  </si>
  <si>
    <t>014.020.03246</t>
  </si>
  <si>
    <t>014.053.03247</t>
  </si>
  <si>
    <t>034.038.03260</t>
  </si>
  <si>
    <t>034.044.03261</t>
  </si>
  <si>
    <t>014.020.03252</t>
  </si>
  <si>
    <t>034.091.03253</t>
  </si>
  <si>
    <t>014.003.03258</t>
  </si>
  <si>
    <t>Total</t>
  </si>
  <si>
    <t>Rate</t>
  </si>
  <si>
    <t>014.004.03248</t>
  </si>
  <si>
    <t>BM</t>
  </si>
  <si>
    <t>AL</t>
  </si>
  <si>
    <t>ARM</t>
  </si>
  <si>
    <t>RGM</t>
  </si>
  <si>
    <t>014.020.03472</t>
  </si>
  <si>
    <t>014.020.03464</t>
  </si>
  <si>
    <t>014.020.03456</t>
  </si>
  <si>
    <t>014.020.03473</t>
  </si>
  <si>
    <t>014.020.03465</t>
  </si>
  <si>
    <t>014.020.03457</t>
  </si>
  <si>
    <t>014.020.03412</t>
  </si>
  <si>
    <t>014.020.03466</t>
  </si>
  <si>
    <t>014.020.03458</t>
  </si>
  <si>
    <t>014.020.03410</t>
  </si>
  <si>
    <t>014.020.03468</t>
  </si>
  <si>
    <t>014.020.03460</t>
  </si>
  <si>
    <t>014.020.03411</t>
  </si>
  <si>
    <t>014.020.03467</t>
  </si>
  <si>
    <t>014.020.03459</t>
  </si>
  <si>
    <t>014.003.03689</t>
  </si>
  <si>
    <t>8mm</t>
  </si>
  <si>
    <t>MU GB 011 - 8 mm glass,In out</t>
  </si>
  <si>
    <t>Finish:</t>
  </si>
  <si>
    <t>In-Out System Configurator: (Quadro profile)</t>
  </si>
  <si>
    <t>In out Quadro vertical profile, 3m</t>
  </si>
  <si>
    <t>014.020.03408</t>
  </si>
  <si>
    <t>014.020.03470</t>
  </si>
  <si>
    <t>014.020.03462</t>
  </si>
  <si>
    <t>Unit</t>
  </si>
  <si>
    <t>pc</t>
  </si>
  <si>
    <t>mtr</t>
  </si>
  <si>
    <t>set</t>
  </si>
  <si>
    <t>Cutting Parameters</t>
  </si>
  <si>
    <t>Ordering Parameters</t>
  </si>
  <si>
    <t>CM</t>
  </si>
  <si>
    <t>014.020.03989</t>
  </si>
  <si>
    <t>014.020.03988</t>
  </si>
  <si>
    <t>014.020.03991</t>
  </si>
  <si>
    <t>014.020.03985</t>
  </si>
  <si>
    <t>014.020.03986</t>
  </si>
  <si>
    <t>014.020.03987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</si>
</sst>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495300</xdr:colOff>
      <xdr:row>11</xdr:row>
      <xdr:rowOff>117470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296150" cy="221297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22</xdr:row>
      <xdr:rowOff>47625</xdr:rowOff>
    </xdr:from>
    <xdr:to>
      <xdr:col>0</xdr:col>
      <xdr:colOff>742950</xdr:colOff>
      <xdr:row>29</xdr:row>
      <xdr:rowOff>152400</xdr:rowOff>
    </xdr:to>
    <xdr:sp macro="" textlink="">
      <xdr:nvSpPr>
        <xdr:cNvPr id="3" name="Rettangolo 58"/>
        <xdr:cNvSpPr/>
      </xdr:nvSpPr>
      <xdr:spPr>
        <a:xfrm>
          <a:off x="123825" y="4286250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0</xdr:colOff>
      <xdr:row>22</xdr:row>
      <xdr:rowOff>57150</xdr:rowOff>
    </xdr:from>
    <xdr:to>
      <xdr:col>3</xdr:col>
      <xdr:colOff>9525</xdr:colOff>
      <xdr:row>29</xdr:row>
      <xdr:rowOff>161925</xdr:rowOff>
    </xdr:to>
    <xdr:sp macro="" textlink="">
      <xdr:nvSpPr>
        <xdr:cNvPr id="4" name="Rettangolo 59"/>
        <xdr:cNvSpPr/>
      </xdr:nvSpPr>
      <xdr:spPr>
        <a:xfrm>
          <a:off x="1438275" y="4295775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0</xdr:colOff>
      <xdr:row>25</xdr:row>
      <xdr:rowOff>166688</xdr:rowOff>
    </xdr:from>
    <xdr:to>
      <xdr:col>3</xdr:col>
      <xdr:colOff>9525</xdr:colOff>
      <xdr:row>25</xdr:row>
      <xdr:rowOff>166688</xdr:rowOff>
    </xdr:to>
    <xdr:cxnSp macro="">
      <xdr:nvCxnSpPr>
        <xdr:cNvPr id="5" name="Connettore 1 62"/>
        <xdr:cNvCxnSpPr/>
      </xdr:nvCxnSpPr>
      <xdr:spPr>
        <a:xfrm>
          <a:off x="1438275" y="4976813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22</xdr:row>
      <xdr:rowOff>47625</xdr:rowOff>
    </xdr:from>
    <xdr:to>
      <xdr:col>4</xdr:col>
      <xdr:colOff>590550</xdr:colOff>
      <xdr:row>29</xdr:row>
      <xdr:rowOff>152400</xdr:rowOff>
    </xdr:to>
    <xdr:sp macro="" textlink="">
      <xdr:nvSpPr>
        <xdr:cNvPr id="6" name="Rettangolo 60"/>
        <xdr:cNvSpPr/>
      </xdr:nvSpPr>
      <xdr:spPr>
        <a:xfrm>
          <a:off x="2628900" y="4286250"/>
          <a:ext cx="619125" cy="1438275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590550</xdr:colOff>
      <xdr:row>24</xdr:row>
      <xdr:rowOff>47625</xdr:rowOff>
    </xdr:from>
    <xdr:to>
      <xdr:col>4</xdr:col>
      <xdr:colOff>600075</xdr:colOff>
      <xdr:row>24</xdr:row>
      <xdr:rowOff>47625</xdr:rowOff>
    </xdr:to>
    <xdr:cxnSp macro="">
      <xdr:nvCxnSpPr>
        <xdr:cNvPr id="7" name="Connettore 1 65"/>
        <xdr:cNvCxnSpPr/>
      </xdr:nvCxnSpPr>
      <xdr:spPr>
        <a:xfrm>
          <a:off x="2638425" y="4667250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27</xdr:row>
      <xdr:rowOff>95250</xdr:rowOff>
    </xdr:from>
    <xdr:to>
      <xdr:col>4</xdr:col>
      <xdr:colOff>571500</xdr:colOff>
      <xdr:row>27</xdr:row>
      <xdr:rowOff>95250</xdr:rowOff>
    </xdr:to>
    <xdr:cxnSp macro="">
      <xdr:nvCxnSpPr>
        <xdr:cNvPr id="8" name="Connettore 1 66"/>
        <xdr:cNvCxnSpPr/>
      </xdr:nvCxnSpPr>
      <xdr:spPr>
        <a:xfrm>
          <a:off x="2609850" y="5286375"/>
          <a:ext cx="619125" cy="0"/>
        </a:xfrm>
        <a:prstGeom prst="line">
          <a:avLst/>
        </a:prstGeom>
        <a:ln w="571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17</xdr:row>
      <xdr:rowOff>38100</xdr:rowOff>
    </xdr:from>
    <xdr:to>
      <xdr:col>6</xdr:col>
      <xdr:colOff>76200</xdr:colOff>
      <xdr:row>17</xdr:row>
      <xdr:rowOff>38100</xdr:rowOff>
    </xdr:to>
    <xdr:cxnSp macro="">
      <xdr:nvCxnSpPr>
        <xdr:cNvPr id="2" name="Connettore 1 13"/>
        <xdr:cNvCxnSpPr/>
      </xdr:nvCxnSpPr>
      <xdr:spPr>
        <a:xfrm>
          <a:off x="1457325" y="609600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25</xdr:row>
      <xdr:rowOff>104775</xdr:rowOff>
    </xdr:from>
    <xdr:to>
      <xdr:col>6</xdr:col>
      <xdr:colOff>85725</xdr:colOff>
      <xdr:row>25</xdr:row>
      <xdr:rowOff>104775</xdr:rowOff>
    </xdr:to>
    <xdr:cxnSp macro="">
      <xdr:nvCxnSpPr>
        <xdr:cNvPr id="3" name="Connettore 1 15"/>
        <xdr:cNvCxnSpPr/>
      </xdr:nvCxnSpPr>
      <xdr:spPr>
        <a:xfrm>
          <a:off x="1466850" y="2200275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34</xdr:row>
      <xdr:rowOff>57150</xdr:rowOff>
    </xdr:from>
    <xdr:to>
      <xdr:col>6</xdr:col>
      <xdr:colOff>66675</xdr:colOff>
      <xdr:row>34</xdr:row>
      <xdr:rowOff>57150</xdr:rowOff>
    </xdr:to>
    <xdr:cxnSp macro="">
      <xdr:nvCxnSpPr>
        <xdr:cNvPr id="4" name="Connettore 1 16"/>
        <xdr:cNvCxnSpPr/>
      </xdr:nvCxnSpPr>
      <xdr:spPr>
        <a:xfrm>
          <a:off x="1447800" y="3867150"/>
          <a:ext cx="1666875" cy="0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9526</xdr:colOff>
      <xdr:row>34</xdr:row>
      <xdr:rowOff>104775</xdr:rowOff>
    </xdr:to>
    <xdr:cxnSp macro="">
      <xdr:nvCxnSpPr>
        <xdr:cNvPr id="5" name="Connettore 1 17"/>
        <xdr:cNvCxnSpPr/>
      </xdr:nvCxnSpPr>
      <xdr:spPr>
        <a:xfrm flipH="1">
          <a:off x="1219200" y="571500"/>
          <a:ext cx="9526" cy="3343275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17</xdr:row>
      <xdr:rowOff>19050</xdr:rowOff>
    </xdr:from>
    <xdr:to>
      <xdr:col>6</xdr:col>
      <xdr:colOff>276226</xdr:colOff>
      <xdr:row>34</xdr:row>
      <xdr:rowOff>123825</xdr:rowOff>
    </xdr:to>
    <xdr:cxnSp macro="">
      <xdr:nvCxnSpPr>
        <xdr:cNvPr id="6" name="Connettore 1 20"/>
        <xdr:cNvCxnSpPr/>
      </xdr:nvCxnSpPr>
      <xdr:spPr>
        <a:xfrm flipH="1">
          <a:off x="3314700" y="590550"/>
          <a:ext cx="9526" cy="3343275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17</xdr:row>
      <xdr:rowOff>47625</xdr:rowOff>
    </xdr:from>
    <xdr:to>
      <xdr:col>11</xdr:col>
      <xdr:colOff>581025</xdr:colOff>
      <xdr:row>25</xdr:row>
      <xdr:rowOff>47625</xdr:rowOff>
    </xdr:to>
    <xdr:sp macro="" textlink="">
      <xdr:nvSpPr>
        <xdr:cNvPr id="7" name="Rettangolo 39"/>
        <xdr:cNvSpPr/>
      </xdr:nvSpPr>
      <xdr:spPr>
        <a:xfrm>
          <a:off x="6210300" y="619125"/>
          <a:ext cx="1685925" cy="1524000"/>
        </a:xfrm>
        <a:prstGeom prst="rect">
          <a:avLst/>
        </a:prstGeom>
        <a:gradFill flip="none" rotWithShape="1">
          <a:gsLst>
            <a:gs pos="0">
              <a:srgbClr val="0099FF">
                <a:tint val="66000"/>
                <a:satMod val="160000"/>
              </a:srgbClr>
            </a:gs>
            <a:gs pos="50000">
              <a:srgbClr val="0099FF">
                <a:tint val="44500"/>
                <a:satMod val="160000"/>
              </a:srgbClr>
            </a:gs>
            <a:gs pos="100000">
              <a:srgbClr val="0099F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238125</xdr:colOff>
      <xdr:row>14</xdr:row>
      <xdr:rowOff>171450</xdr:rowOff>
    </xdr:from>
    <xdr:to>
      <xdr:col>6</xdr:col>
      <xdr:colOff>66675</xdr:colOff>
      <xdr:row>14</xdr:row>
      <xdr:rowOff>171450</xdr:rowOff>
    </xdr:to>
    <xdr:cxnSp macro="">
      <xdr:nvCxnSpPr>
        <xdr:cNvPr id="8" name="Connettore 2 6"/>
        <xdr:cNvCxnSpPr/>
      </xdr:nvCxnSpPr>
      <xdr:spPr>
        <a:xfrm>
          <a:off x="2066925" y="171450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14</xdr:row>
      <xdr:rowOff>180975</xdr:rowOff>
    </xdr:from>
    <xdr:to>
      <xdr:col>3</xdr:col>
      <xdr:colOff>238125</xdr:colOff>
      <xdr:row>16</xdr:row>
      <xdr:rowOff>161925</xdr:rowOff>
    </xdr:to>
    <xdr:cxnSp macro="">
      <xdr:nvCxnSpPr>
        <xdr:cNvPr id="9" name="Connettore 1 31"/>
        <xdr:cNvCxnSpPr/>
      </xdr:nvCxnSpPr>
      <xdr:spPr>
        <a:xfrm>
          <a:off x="2066925" y="1809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15</xdr:row>
      <xdr:rowOff>9525</xdr:rowOff>
    </xdr:from>
    <xdr:to>
      <xdr:col>6</xdr:col>
      <xdr:colOff>76200</xdr:colOff>
      <xdr:row>16</xdr:row>
      <xdr:rowOff>180975</xdr:rowOff>
    </xdr:to>
    <xdr:cxnSp macro="">
      <xdr:nvCxnSpPr>
        <xdr:cNvPr id="10" name="Connettore 1 32"/>
        <xdr:cNvCxnSpPr/>
      </xdr:nvCxnSpPr>
      <xdr:spPr>
        <a:xfrm>
          <a:off x="3733800" y="20002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16</xdr:row>
      <xdr:rowOff>180975</xdr:rowOff>
    </xdr:from>
    <xdr:to>
      <xdr:col>2</xdr:col>
      <xdr:colOff>523875</xdr:colOff>
      <xdr:row>16</xdr:row>
      <xdr:rowOff>180975</xdr:rowOff>
    </xdr:to>
    <xdr:cxnSp macro="">
      <xdr:nvCxnSpPr>
        <xdr:cNvPr id="11" name="Connettore 1 22"/>
        <xdr:cNvCxnSpPr/>
      </xdr:nvCxnSpPr>
      <xdr:spPr>
        <a:xfrm>
          <a:off x="1419225" y="561975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34</xdr:row>
      <xdr:rowOff>152400</xdr:rowOff>
    </xdr:from>
    <xdr:to>
      <xdr:col>2</xdr:col>
      <xdr:colOff>504825</xdr:colOff>
      <xdr:row>34</xdr:row>
      <xdr:rowOff>152400</xdr:rowOff>
    </xdr:to>
    <xdr:cxnSp macro="">
      <xdr:nvCxnSpPr>
        <xdr:cNvPr id="12" name="Connettore 1 23"/>
        <xdr:cNvCxnSpPr/>
      </xdr:nvCxnSpPr>
      <xdr:spPr>
        <a:xfrm>
          <a:off x="1400175" y="396240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16</xdr:row>
      <xdr:rowOff>180975</xdr:rowOff>
    </xdr:from>
    <xdr:to>
      <xdr:col>2</xdr:col>
      <xdr:colOff>180975</xdr:colOff>
      <xdr:row>34</xdr:row>
      <xdr:rowOff>152400</xdr:rowOff>
    </xdr:to>
    <xdr:cxnSp macro="">
      <xdr:nvCxnSpPr>
        <xdr:cNvPr id="13" name="Connettore 2 24"/>
        <xdr:cNvCxnSpPr/>
      </xdr:nvCxnSpPr>
      <xdr:spPr>
        <a:xfrm>
          <a:off x="1400175" y="561975"/>
          <a:ext cx="0" cy="3400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34</xdr:row>
      <xdr:rowOff>152400</xdr:rowOff>
    </xdr:from>
    <xdr:to>
      <xdr:col>7</xdr:col>
      <xdr:colOff>19050</xdr:colOff>
      <xdr:row>34</xdr:row>
      <xdr:rowOff>152400</xdr:rowOff>
    </xdr:to>
    <xdr:cxnSp macro="">
      <xdr:nvCxnSpPr>
        <xdr:cNvPr id="14" name="Connettore 1 26"/>
        <xdr:cNvCxnSpPr/>
      </xdr:nvCxnSpPr>
      <xdr:spPr>
        <a:xfrm>
          <a:off x="3962400" y="396240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16</xdr:row>
      <xdr:rowOff>180975</xdr:rowOff>
    </xdr:from>
    <xdr:to>
      <xdr:col>7</xdr:col>
      <xdr:colOff>95250</xdr:colOff>
      <xdr:row>34</xdr:row>
      <xdr:rowOff>152400</xdr:rowOff>
    </xdr:to>
    <xdr:cxnSp macro="">
      <xdr:nvCxnSpPr>
        <xdr:cNvPr id="15" name="Connettore 2 27"/>
        <xdr:cNvCxnSpPr/>
      </xdr:nvCxnSpPr>
      <xdr:spPr>
        <a:xfrm>
          <a:off x="4362450" y="561975"/>
          <a:ext cx="0" cy="3400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34</xdr:row>
      <xdr:rowOff>114300</xdr:rowOff>
    </xdr:from>
    <xdr:to>
      <xdr:col>3</xdr:col>
      <xdr:colOff>209550</xdr:colOff>
      <xdr:row>36</xdr:row>
      <xdr:rowOff>95250</xdr:rowOff>
    </xdr:to>
    <xdr:cxnSp macro="">
      <xdr:nvCxnSpPr>
        <xdr:cNvPr id="16" name="Connettore 1 33"/>
        <xdr:cNvCxnSpPr/>
      </xdr:nvCxnSpPr>
      <xdr:spPr>
        <a:xfrm>
          <a:off x="2038350" y="3924300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34</xdr:row>
      <xdr:rowOff>142875</xdr:rowOff>
    </xdr:from>
    <xdr:to>
      <xdr:col>6</xdr:col>
      <xdr:colOff>57150</xdr:colOff>
      <xdr:row>36</xdr:row>
      <xdr:rowOff>123825</xdr:rowOff>
    </xdr:to>
    <xdr:cxnSp macro="">
      <xdr:nvCxnSpPr>
        <xdr:cNvPr id="17" name="Connettore 1 34"/>
        <xdr:cNvCxnSpPr/>
      </xdr:nvCxnSpPr>
      <xdr:spPr>
        <a:xfrm>
          <a:off x="3714750" y="39528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37</xdr:row>
      <xdr:rowOff>9525</xdr:rowOff>
    </xdr:from>
    <xdr:to>
      <xdr:col>6</xdr:col>
      <xdr:colOff>38100</xdr:colOff>
      <xdr:row>37</xdr:row>
      <xdr:rowOff>9525</xdr:rowOff>
    </xdr:to>
    <xdr:cxnSp macro="">
      <xdr:nvCxnSpPr>
        <xdr:cNvPr id="18" name="Connettore 2 38"/>
        <xdr:cNvCxnSpPr/>
      </xdr:nvCxnSpPr>
      <xdr:spPr>
        <a:xfrm>
          <a:off x="2038350" y="4391025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14</xdr:row>
      <xdr:rowOff>133350</xdr:rowOff>
    </xdr:from>
    <xdr:to>
      <xdr:col>11</xdr:col>
      <xdr:colOff>571500</xdr:colOff>
      <xdr:row>14</xdr:row>
      <xdr:rowOff>133350</xdr:rowOff>
    </xdr:to>
    <xdr:cxnSp macro="">
      <xdr:nvCxnSpPr>
        <xdr:cNvPr id="19" name="Connettore 2 41"/>
        <xdr:cNvCxnSpPr/>
      </xdr:nvCxnSpPr>
      <xdr:spPr>
        <a:xfrm>
          <a:off x="6229350" y="133350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14</xdr:row>
      <xdr:rowOff>142875</xdr:rowOff>
    </xdr:from>
    <xdr:to>
      <xdr:col>9</xdr:col>
      <xdr:colOff>133350</xdr:colOff>
      <xdr:row>16</xdr:row>
      <xdr:rowOff>123825</xdr:rowOff>
    </xdr:to>
    <xdr:cxnSp macro="">
      <xdr:nvCxnSpPr>
        <xdr:cNvPr id="20" name="Connettore 1 42"/>
        <xdr:cNvCxnSpPr/>
      </xdr:nvCxnSpPr>
      <xdr:spPr>
        <a:xfrm>
          <a:off x="6229350" y="1428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14</xdr:row>
      <xdr:rowOff>161925</xdr:rowOff>
    </xdr:from>
    <xdr:to>
      <xdr:col>11</xdr:col>
      <xdr:colOff>581025</xdr:colOff>
      <xdr:row>16</xdr:row>
      <xdr:rowOff>142875</xdr:rowOff>
    </xdr:to>
    <xdr:cxnSp macro="">
      <xdr:nvCxnSpPr>
        <xdr:cNvPr id="21" name="Connettore 1 43"/>
        <xdr:cNvCxnSpPr/>
      </xdr:nvCxnSpPr>
      <xdr:spPr>
        <a:xfrm>
          <a:off x="7896225" y="16192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17</xdr:row>
      <xdr:rowOff>57150</xdr:rowOff>
    </xdr:from>
    <xdr:to>
      <xdr:col>12</xdr:col>
      <xdr:colOff>438150</xdr:colOff>
      <xdr:row>17</xdr:row>
      <xdr:rowOff>57150</xdr:rowOff>
    </xdr:to>
    <xdr:cxnSp macro="">
      <xdr:nvCxnSpPr>
        <xdr:cNvPr id="22" name="Connettore 1 44"/>
        <xdr:cNvCxnSpPr/>
      </xdr:nvCxnSpPr>
      <xdr:spPr>
        <a:xfrm>
          <a:off x="8039100" y="62865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25</xdr:row>
      <xdr:rowOff>47625</xdr:rowOff>
    </xdr:from>
    <xdr:to>
      <xdr:col>12</xdr:col>
      <xdr:colOff>457200</xdr:colOff>
      <xdr:row>25</xdr:row>
      <xdr:rowOff>47625</xdr:rowOff>
    </xdr:to>
    <xdr:cxnSp macro="">
      <xdr:nvCxnSpPr>
        <xdr:cNvPr id="23" name="Connettore 1 45"/>
        <xdr:cNvCxnSpPr/>
      </xdr:nvCxnSpPr>
      <xdr:spPr>
        <a:xfrm>
          <a:off x="8058150" y="2143125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466726</xdr:colOff>
      <xdr:row>17</xdr:row>
      <xdr:rowOff>76200</xdr:rowOff>
    </xdr:from>
    <xdr:to>
      <xdr:col>12</xdr:col>
      <xdr:colOff>476250</xdr:colOff>
      <xdr:row>25</xdr:row>
      <xdr:rowOff>19050</xdr:rowOff>
    </xdr:to>
    <xdr:cxnSp macro="">
      <xdr:nvCxnSpPr>
        <xdr:cNvPr id="24" name="Connettore 2 51"/>
        <xdr:cNvCxnSpPr/>
      </xdr:nvCxnSpPr>
      <xdr:spPr>
        <a:xfrm>
          <a:off x="8391526" y="647700"/>
          <a:ext cx="9524" cy="14668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11</xdr:row>
      <xdr:rowOff>117470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6150" cy="221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5:G37"/>
  <sheetViews>
    <sheetView tabSelected="1" zoomScale="85" zoomScaleNormal="85" workbookViewId="0">
      <selection activeCell="F30" sqref="F30"/>
    </sheetView>
  </sheetViews>
  <sheetFormatPr defaultColWidth="9.109375" defaultRowHeight="14.4" x14ac:dyDescent="0.3"/>
  <cols>
    <col min="1" max="1" width="12.44140625" style="2" bestFit="1" customWidth="1"/>
    <col min="2" max="5" width="9.109375" style="2"/>
    <col min="6" max="6" width="25.6640625" style="2" bestFit="1" customWidth="1"/>
    <col min="7" max="16384" width="9.109375" style="2"/>
  </cols>
  <sheetData>
    <row r="15" spans="1:1" ht="18.75" x14ac:dyDescent="0.3">
      <c r="A15" s="1" t="s">
        <v>83</v>
      </c>
    </row>
    <row r="17" spans="1:7" ht="15" x14ac:dyDescent="0.25">
      <c r="A17" s="2" t="s">
        <v>0</v>
      </c>
    </row>
    <row r="18" spans="1:7" ht="15" x14ac:dyDescent="0.25">
      <c r="A18" s="3" t="s">
        <v>1</v>
      </c>
      <c r="B18" s="9">
        <v>2500</v>
      </c>
      <c r="F18" s="2" t="s">
        <v>31</v>
      </c>
      <c r="G18" s="9" t="s">
        <v>32</v>
      </c>
    </row>
    <row r="19" spans="1:7" ht="15" x14ac:dyDescent="0.25">
      <c r="A19" s="3" t="s">
        <v>2</v>
      </c>
      <c r="B19" s="9">
        <v>3000</v>
      </c>
      <c r="F19" s="4" t="s">
        <v>37</v>
      </c>
      <c r="G19" s="9" t="s">
        <v>38</v>
      </c>
    </row>
    <row r="20" spans="1:7" ht="15" x14ac:dyDescent="0.25">
      <c r="A20" s="5" t="s">
        <v>3</v>
      </c>
      <c r="B20" s="9">
        <v>2</v>
      </c>
      <c r="F20" s="2" t="s">
        <v>82</v>
      </c>
      <c r="G20" s="15" t="s">
        <v>62</v>
      </c>
    </row>
    <row r="21" spans="1:7" ht="15" x14ac:dyDescent="0.25">
      <c r="A21" s="5" t="s">
        <v>17</v>
      </c>
      <c r="B21" s="9" t="s">
        <v>18</v>
      </c>
    </row>
    <row r="31" spans="1:7" ht="15" x14ac:dyDescent="0.25">
      <c r="A31" s="6">
        <v>1</v>
      </c>
      <c r="B31" s="6"/>
      <c r="C31" s="6">
        <v>2</v>
      </c>
      <c r="D31" s="6"/>
      <c r="E31" s="6">
        <v>3</v>
      </c>
    </row>
    <row r="35" spans="1:2" ht="15" x14ac:dyDescent="0.25">
      <c r="A35" s="7" t="s">
        <v>7</v>
      </c>
      <c r="B35" s="3"/>
    </row>
    <row r="36" spans="1:2" ht="15" x14ac:dyDescent="0.25">
      <c r="A36" s="3" t="s">
        <v>2</v>
      </c>
      <c r="B36" s="8">
        <f>Sheet3!E2</f>
        <v>1511</v>
      </c>
    </row>
    <row r="37" spans="1:2" ht="15" x14ac:dyDescent="0.25">
      <c r="A37" s="3" t="s">
        <v>1</v>
      </c>
      <c r="B37" s="8">
        <f>B18-50</f>
        <v>2450</v>
      </c>
    </row>
  </sheetData>
  <sheetProtection algorithmName="SHA-512" hashValue="bJqB8zvIVpQsYHfM9bvgbasmtR5kjMToAD65Dr8TRd2WvBHSvzTpsZyda7ssMf+DRk8w6CzE+o3G4W86SCNvkw==" saltValue="XCYhiLGHNG4enjpiI77hFw==" spinCount="100000" sheet="1" objects="1" scenarios="1"/>
  <dataValidations count="2">
    <dataValidation type="decimal" operator="lessThan" allowBlank="1" showInputMessage="1" showErrorMessage="1" error="Maximum Height 3000mm !!!" sqref="B18">
      <formula1>3001</formula1>
    </dataValidation>
    <dataValidation type="decimal" operator="lessThan" allowBlank="1" showInputMessage="1" showErrorMessage="1" error="Maximum Width 3000mm !!!" sqref="B19">
      <formula1>3001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Sheet3!$B$1:$B$3</xm:f>
          </x14:formula1>
          <xm:sqref>B20</xm:sqref>
        </x14:dataValidation>
        <x14:dataValidation type="list" allowBlank="1" showInputMessage="1" showErrorMessage="1">
          <x14:formula1>
            <xm:f>Sheet3!$C$2:$C$4</xm:f>
          </x14:formula1>
          <xm:sqref>B21</xm:sqref>
        </x14:dataValidation>
        <x14:dataValidation type="list" allowBlank="1" showInputMessage="1" showErrorMessage="1">
          <x14:formula1>
            <xm:f>Sheet3!$O$2:$O$3</xm:f>
          </x14:formula1>
          <xm:sqref>G18</xm:sqref>
        </x14:dataValidation>
        <x14:dataValidation type="list" allowBlank="1" showInputMessage="1" showErrorMessage="1">
          <x14:formula1>
            <xm:f>Sheet3!$Q$2:$Q$3</xm:f>
          </x14:formula1>
          <xm:sqref>G19</xm:sqref>
        </x14:dataValidation>
        <x14:dataValidation type="list" allowBlank="1" showInputMessage="1" showErrorMessage="1">
          <x14:formula1>
            <xm:f>Sheet3!$G$2:$G$6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6:Y37"/>
  <sheetViews>
    <sheetView zoomScale="85" zoomScaleNormal="85" workbookViewId="0">
      <selection activeCell="U20" sqref="U20"/>
    </sheetView>
  </sheetViews>
  <sheetFormatPr defaultColWidth="9.109375" defaultRowHeight="14.4" x14ac:dyDescent="0.3"/>
  <cols>
    <col min="1" max="16" width="9.109375" style="6"/>
    <col min="17" max="17" width="32.33203125" style="6" bestFit="1" customWidth="1"/>
    <col min="18" max="19" width="9.109375" style="6"/>
    <col min="20" max="20" width="11.88671875" style="6" bestFit="1" customWidth="1"/>
    <col min="21" max="21" width="13.33203125" style="6" bestFit="1" customWidth="1"/>
    <col min="22" max="22" width="9.5546875" style="6" bestFit="1" customWidth="1"/>
    <col min="23" max="23" width="9.5546875" style="6" customWidth="1"/>
    <col min="24" max="16384" width="9.109375" style="6"/>
  </cols>
  <sheetData>
    <row r="16" spans="5:23" x14ac:dyDescent="0.3">
      <c r="E16" s="6" t="s">
        <v>4</v>
      </c>
      <c r="K16" s="10">
        <f>'Enter Details'!B36-68</f>
        <v>1443</v>
      </c>
      <c r="P16" s="11" t="s">
        <v>28</v>
      </c>
      <c r="R16" s="18" t="s">
        <v>92</v>
      </c>
      <c r="S16" s="18"/>
      <c r="U16" s="18" t="s">
        <v>93</v>
      </c>
      <c r="V16" s="18"/>
      <c r="W16" s="18"/>
    </row>
    <row r="17" spans="2:25" x14ac:dyDescent="0.3">
      <c r="E17" s="10">
        <f>'Enter Details'!B36-80</f>
        <v>1431</v>
      </c>
      <c r="K17" s="6" t="s">
        <v>8</v>
      </c>
      <c r="P17" s="12" t="s">
        <v>10</v>
      </c>
      <c r="Q17" s="12" t="s">
        <v>11</v>
      </c>
      <c r="R17" s="12" t="s">
        <v>12</v>
      </c>
      <c r="S17" s="12" t="s">
        <v>13</v>
      </c>
      <c r="T17" s="12" t="s">
        <v>14</v>
      </c>
      <c r="U17" s="12" t="s">
        <v>16</v>
      </c>
      <c r="V17" s="12" t="s">
        <v>15</v>
      </c>
      <c r="W17" s="12" t="s">
        <v>88</v>
      </c>
      <c r="X17" s="12" t="s">
        <v>30</v>
      </c>
      <c r="Y17" s="12" t="s">
        <v>58</v>
      </c>
    </row>
    <row r="18" spans="2:25" x14ac:dyDescent="0.3">
      <c r="P18" s="8">
        <v>1</v>
      </c>
      <c r="Q18" s="13" t="s">
        <v>29</v>
      </c>
      <c r="R18" s="8">
        <f>E17</f>
        <v>1431</v>
      </c>
      <c r="S18" s="8">
        <v>2</v>
      </c>
      <c r="T18" s="8">
        <f t="shared" ref="T18" si="0">S18*R18</f>
        <v>2862</v>
      </c>
      <c r="U18" s="8" t="str">
        <f>IF('Enter Details'!$G$20="BM",VLOOKUP('Door Details'!Q18,Sheet3!$C$10:$E$27,3,0),IF('Enter Details'!G$20="AL",VLOOKUP('Door Details'!Q18,Sheet3!$C$10:$G$27,5,0),IF('Enter Details'!G$20="ARM",VLOOKUP('Door Details'!Q18,Sheet3!$C$10:$I$27,7,0),IF('Enter Details'!G$20="RGM",VLOOKUP('Door Details'!Q18,Sheet3!$C$10:$K$27,9,0),IF('Enter Details'!$G$20="CM",VLOOKUP('Door Details'!Q18,Sheet3!$C$10:$M$27,11,0))))))</f>
        <v>014.020.03468</v>
      </c>
      <c r="V18" s="8">
        <f>ROUNDUP(T18/3000,0)</f>
        <v>1</v>
      </c>
      <c r="W18" s="8" t="s">
        <v>89</v>
      </c>
      <c r="X18" s="8">
        <f>VLOOKUP(U18,Sheet3!$S$3:$T$88,2,0)</f>
        <v>1079.2744</v>
      </c>
      <c r="Y18" s="8">
        <f t="shared" ref="Y18:Y32" si="1">IFERROR(X18*V18,"-")</f>
        <v>1079.2744</v>
      </c>
    </row>
    <row r="19" spans="2:25" x14ac:dyDescent="0.3">
      <c r="P19" s="8">
        <v>2</v>
      </c>
      <c r="Q19" s="8" t="s">
        <v>42</v>
      </c>
      <c r="R19" s="8">
        <f>R18</f>
        <v>1431</v>
      </c>
      <c r="S19" s="8">
        <v>2</v>
      </c>
      <c r="T19" s="8">
        <f t="shared" ref="T19:T26" si="2">S19*R19</f>
        <v>2862</v>
      </c>
      <c r="U19" s="8" t="str">
        <f>IF('Enter Details'!$G$20="BM",VLOOKUP('Door Details'!Q19,Sheet3!$C$10:$E$27,3,0),IF('Enter Details'!G$20="AL",VLOOKUP('Door Details'!Q19,Sheet3!$C$10:$G$27,5,0),IF('Enter Details'!G$20="ARM",VLOOKUP('Door Details'!Q19,Sheet3!$C$10:$I$27,7,0),IF('Enter Details'!G$20="RGM",VLOOKUP('Door Details'!Q19,Sheet3!$C$10:$K$27,9,0),IF('Enter Details'!$G$20="CM",VLOOKUP('Door Details'!Q19,Sheet3!$C$10:$M$27,11,0))))))</f>
        <v>014.020.03467</v>
      </c>
      <c r="V19" s="8">
        <f>ROUNDUP(T19/3000,0)</f>
        <v>1</v>
      </c>
      <c r="W19" s="8" t="s">
        <v>89</v>
      </c>
      <c r="X19" s="8">
        <f>VLOOKUP(U19,Sheet3!$S$3:$T$88,2,0)</f>
        <v>1773.0921000000001</v>
      </c>
      <c r="Y19" s="8">
        <f t="shared" si="1"/>
        <v>1773.0921000000001</v>
      </c>
    </row>
    <row r="20" spans="2:25" x14ac:dyDescent="0.3">
      <c r="P20" s="8">
        <v>3</v>
      </c>
      <c r="Q20" s="13" t="s">
        <v>84</v>
      </c>
      <c r="R20" s="8">
        <f>H26</f>
        <v>2450</v>
      </c>
      <c r="S20" s="8">
        <v>4</v>
      </c>
      <c r="T20" s="8">
        <f t="shared" si="2"/>
        <v>9800</v>
      </c>
      <c r="U20" s="8" t="str">
        <f>IF('Enter Details'!$G$20="BM",VLOOKUP('Door Details'!Q20,Sheet3!$C$10:$E$27,3,0),IF('Enter Details'!G$20="AL",VLOOKUP('Door Details'!Q20,Sheet3!$C$10:$G$27,5,0),IF('Enter Details'!G$20="ARM",VLOOKUP('Door Details'!Q20,Sheet3!$C$10:$I$27,7,0),IF('Enter Details'!G$20="RGM",VLOOKUP('Door Details'!Q20,Sheet3!$C$10:$K$27,9,0),IF('Enter Details'!$G$20="CM",VLOOKUP('Door Details'!Q20,Sheet3!$C$10:$M$27,11,0))))))</f>
        <v>014.020.03470</v>
      </c>
      <c r="V20" s="8">
        <f>ROUNDUP(T20/3000,0)</f>
        <v>4</v>
      </c>
      <c r="W20" s="8" t="s">
        <v>89</v>
      </c>
      <c r="X20" s="8">
        <f>VLOOKUP(U20,Sheet3!$S$3:$T$88,2,0)</f>
        <v>2320.8389000000002</v>
      </c>
      <c r="Y20" s="8">
        <f t="shared" si="1"/>
        <v>9283.3556000000008</v>
      </c>
    </row>
    <row r="21" spans="2:25" x14ac:dyDescent="0.3">
      <c r="N21" s="10">
        <f>IF(K27=1,Sheet3!B7,IF('Door Details'!K27=2,Sheet3!C7,IF('Door Details'!K27=3,Sheet3!D7)))</f>
        <v>1184</v>
      </c>
      <c r="P21" s="8">
        <v>4</v>
      </c>
      <c r="Q21" s="13" t="s">
        <v>20</v>
      </c>
      <c r="R21" s="8">
        <f>H26</f>
        <v>2450</v>
      </c>
      <c r="S21" s="8">
        <v>4</v>
      </c>
      <c r="T21" s="8">
        <f t="shared" si="2"/>
        <v>9800</v>
      </c>
      <c r="U21" s="8" t="str">
        <f>IF('Enter Details'!$G$20="BM",VLOOKUP('Door Details'!Q21,Sheet3!$C$10:$E$27,3,0),IF('Enter Details'!G$20="AL",VLOOKUP('Door Details'!Q21,Sheet3!$C$10:$G$27,5,0),IF('Enter Details'!G$20="ARM",VLOOKUP('Door Details'!Q21,Sheet3!$C$10:$I$27,7,0),IF('Enter Details'!G$20="RGM",VLOOKUP('Door Details'!Q21,Sheet3!$C$10:$K$27,9,0),IF('Enter Details'!$G$20="CM",VLOOKUP('Door Details'!Q21,Sheet3!$C$10:$M$27,11,0))))))</f>
        <v>014.003.03257</v>
      </c>
      <c r="V21" s="8">
        <f>ROUNDUP(T21/1000,0)</f>
        <v>10</v>
      </c>
      <c r="W21" s="8" t="s">
        <v>90</v>
      </c>
      <c r="X21" s="8">
        <f>VLOOKUP(U21,Sheet3!$S$3:$T$88,2,0)</f>
        <v>103.66827000000001</v>
      </c>
      <c r="Y21" s="8">
        <f t="shared" si="1"/>
        <v>1036.6827000000001</v>
      </c>
    </row>
    <row r="22" spans="2:25" x14ac:dyDescent="0.3">
      <c r="P22" s="8">
        <v>5</v>
      </c>
      <c r="Q22" s="13" t="s">
        <v>21</v>
      </c>
      <c r="R22" s="8">
        <f>H26</f>
        <v>2450</v>
      </c>
      <c r="S22" s="8">
        <v>2</v>
      </c>
      <c r="T22" s="8">
        <f t="shared" si="2"/>
        <v>4900</v>
      </c>
      <c r="U22" s="8" t="str">
        <f>IF('Enter Details'!$G$20="BM",VLOOKUP('Door Details'!Q22,Sheet3!$C$10:$E$27,3,0),IF('Enter Details'!G$20="AL",VLOOKUP('Door Details'!Q22,Sheet3!$C$10:$G$27,5,0),IF('Enter Details'!G$20="ARM",VLOOKUP('Door Details'!Q22,Sheet3!$C$10:$I$27,7,0),IF('Enter Details'!G$20="RGM",VLOOKUP('Door Details'!Q22,Sheet3!$C$10:$K$27,9,0),IF('Enter Details'!$G$20="CM",VLOOKUP('Door Details'!Q22,Sheet3!$C$10:$M$27,11,0))))))</f>
        <v>014.003.03256</v>
      </c>
      <c r="V22" s="8">
        <f>ROUNDUP(T22/1000,0)</f>
        <v>5</v>
      </c>
      <c r="W22" s="8" t="s">
        <v>90</v>
      </c>
      <c r="X22" s="8">
        <f>VLOOKUP(U22,Sheet3!$S$3:$T$88,2,0)</f>
        <v>80.69314</v>
      </c>
      <c r="Y22" s="8">
        <f t="shared" si="1"/>
        <v>403.46569999999997</v>
      </c>
    </row>
    <row r="23" spans="2:25" x14ac:dyDescent="0.3">
      <c r="P23" s="8">
        <v>6</v>
      </c>
      <c r="Q23" s="13" t="str">
        <f>IF('Enter Details'!B21="4mm",Sheet3!K2,Sheet3!K3)</f>
        <v>MU GB 008 - 4 mm glass,In out</v>
      </c>
      <c r="R23" s="8">
        <f>H26</f>
        <v>2450</v>
      </c>
      <c r="S23" s="8">
        <v>4</v>
      </c>
      <c r="T23" s="8">
        <f t="shared" si="2"/>
        <v>9800</v>
      </c>
      <c r="U23" s="8" t="str">
        <f>IF('Enter Details'!$G$20="BM",VLOOKUP('Door Details'!Q23,Sheet3!$C$10:$E$27,3,0),IF('Enter Details'!G$20="AL",VLOOKUP('Door Details'!Q23,Sheet3!$C$10:$G$27,5,0),IF('Enter Details'!G$20="ARM",VLOOKUP('Door Details'!Q23,Sheet3!$C$10:$I$27,7,0),IF('Enter Details'!G$20="RGM",VLOOKUP('Door Details'!Q23,Sheet3!$C$10:$K$27,9,0),IF('Enter Details'!$G$20="CM",VLOOKUP('Door Details'!Q23,Sheet3!$C$10:$M$27,11,0))))))</f>
        <v>014.003.03255</v>
      </c>
      <c r="V23" s="8">
        <f>ROUNDUP(T23/1000,0)</f>
        <v>10</v>
      </c>
      <c r="W23" s="8" t="s">
        <v>90</v>
      </c>
      <c r="X23" s="8">
        <f>VLOOKUP(U23,Sheet3!$S$3:$T$88,2,0)</f>
        <v>207.81833</v>
      </c>
      <c r="Y23" s="8">
        <f t="shared" si="1"/>
        <v>2078.1833000000001</v>
      </c>
    </row>
    <row r="24" spans="2:25" x14ac:dyDescent="0.3">
      <c r="E24" s="6" t="s">
        <v>6</v>
      </c>
      <c r="P24" s="8">
        <v>7</v>
      </c>
      <c r="Q24" s="13" t="str">
        <f>IF('Enter Details'!B21="4mm",Sheet3!K2,Sheet3!K3)</f>
        <v>MU GB 008 - 4 mm glass,In out</v>
      </c>
      <c r="R24" s="8">
        <f>E25</f>
        <v>1431</v>
      </c>
      <c r="S24" s="8">
        <f>IF(K27=1,4,IF(K27=2,6,IF(K27=3,8)))</f>
        <v>6</v>
      </c>
      <c r="T24" s="8">
        <f t="shared" si="2"/>
        <v>8586</v>
      </c>
      <c r="U24" s="8" t="str">
        <f>IF('Enter Details'!$G$20="BM",VLOOKUP('Door Details'!Q24,Sheet3!$C$10:$E$27,3,0),IF('Enter Details'!G$20="AL",VLOOKUP('Door Details'!Q24,Sheet3!$C$10:$G$27,5,0),IF('Enter Details'!G$20="ARM",VLOOKUP('Door Details'!Q24,Sheet3!$C$10:$I$27,7,0),IF('Enter Details'!G$20="RGM",VLOOKUP('Door Details'!Q24,Sheet3!$C$10:$K$27,9,0),IF('Enter Details'!$G$20="CM",VLOOKUP('Door Details'!Q24,Sheet3!$C$10:$M$27,11,0))))))</f>
        <v>014.003.03255</v>
      </c>
      <c r="V24" s="8">
        <f>ROUNDUP(T24/1000,0)</f>
        <v>9</v>
      </c>
      <c r="W24" s="8" t="s">
        <v>90</v>
      </c>
      <c r="X24" s="8">
        <f>VLOOKUP(U24,Sheet3!$S$3:$T$88,2,0)</f>
        <v>207.81833</v>
      </c>
      <c r="Y24" s="8">
        <f t="shared" si="1"/>
        <v>1870.3649700000001</v>
      </c>
    </row>
    <row r="25" spans="2:25" x14ac:dyDescent="0.3">
      <c r="B25" s="6" t="s">
        <v>59</v>
      </c>
      <c r="E25" s="10">
        <f>E17</f>
        <v>1431</v>
      </c>
      <c r="H25" s="6" t="s">
        <v>5</v>
      </c>
      <c r="P25" s="8">
        <v>8</v>
      </c>
      <c r="Q25" s="13" t="s">
        <v>43</v>
      </c>
      <c r="R25" s="8">
        <f>'Enter Details'!B19</f>
        <v>3000</v>
      </c>
      <c r="S25" s="8">
        <v>1</v>
      </c>
      <c r="T25" s="8">
        <f t="shared" si="2"/>
        <v>3000</v>
      </c>
      <c r="U25" s="8" t="str">
        <f>IF('Enter Details'!$G$20="BM",VLOOKUP('Door Details'!Q25,Sheet3!$C$10:$E$27,3,0),IF('Enter Details'!G$20="AL",VLOOKUP('Door Details'!Q25,Sheet3!$C$10:$G$27,5,0),IF('Enter Details'!G$20="ARM",VLOOKUP('Door Details'!Q25,Sheet3!$C$10:$I$27,7,0),IF('Enter Details'!G$20="RGM",VLOOKUP('Door Details'!Q25,Sheet3!$C$10:$K$27,9,0),IF('Enter Details'!$G$20="CM",VLOOKUP('Door Details'!Q25,Sheet3!$C$10:$M$27,11,0))))))</f>
        <v>014.020.03464</v>
      </c>
      <c r="V25" s="8">
        <f>ROUNDUP(T25/3000,0)</f>
        <v>1</v>
      </c>
      <c r="W25" s="8" t="s">
        <v>89</v>
      </c>
      <c r="X25" s="8">
        <f>VLOOKUP(U25,Sheet3!$S$3:$T$88,2,0)</f>
        <v>4382.0070999999998</v>
      </c>
      <c r="Y25" s="8">
        <f t="shared" si="1"/>
        <v>4382.0070999999998</v>
      </c>
    </row>
    <row r="26" spans="2:25" x14ac:dyDescent="0.3">
      <c r="B26" s="10">
        <f>'Enter Details'!B37</f>
        <v>2450</v>
      </c>
      <c r="H26" s="10">
        <f>B26</f>
        <v>2450</v>
      </c>
      <c r="P26" s="8">
        <v>9</v>
      </c>
      <c r="Q26" s="6" t="s">
        <v>44</v>
      </c>
      <c r="R26" s="8">
        <f>'Enter Details'!B19</f>
        <v>3000</v>
      </c>
      <c r="S26" s="8">
        <v>1</v>
      </c>
      <c r="T26" s="8">
        <f t="shared" si="2"/>
        <v>3000</v>
      </c>
      <c r="U26" s="8" t="str">
        <f>IF('Enter Details'!$G$20="BM",VLOOKUP('Door Details'!Q26,Sheet3!$C$10:$E$27,3,0),IF('Enter Details'!G$20="AL",VLOOKUP('Door Details'!Q26,Sheet3!$C$10:$G$27,5,0),IF('Enter Details'!G$20="ARM",VLOOKUP('Door Details'!Q26,Sheet3!$C$10:$I$27,7,0),IF('Enter Details'!G$20="RGM",VLOOKUP('Door Details'!Q26,Sheet3!$C$10:$K$27,9,0),IF('Enter Details'!$G$20="CM",VLOOKUP('Door Details'!Q26,Sheet3!$C$10:$M$27,11,0))))))</f>
        <v>014.020.03465</v>
      </c>
      <c r="V26" s="8">
        <f>ROUNDUP(T26/3000,0)</f>
        <v>1</v>
      </c>
      <c r="W26" s="8" t="s">
        <v>89</v>
      </c>
      <c r="X26" s="8">
        <f>VLOOKUP(U26,Sheet3!$S$3:$T$88,2,0)</f>
        <v>2341.2060000000001</v>
      </c>
      <c r="Y26" s="8">
        <f t="shared" si="1"/>
        <v>2341.2060000000001</v>
      </c>
    </row>
    <row r="27" spans="2:25" x14ac:dyDescent="0.3">
      <c r="J27" s="6" t="s">
        <v>9</v>
      </c>
      <c r="K27" s="10">
        <f>'Enter Details'!B20</f>
        <v>2</v>
      </c>
      <c r="P27" s="8">
        <v>10</v>
      </c>
      <c r="Q27" s="13" t="s">
        <v>34</v>
      </c>
      <c r="R27" s="8" t="s">
        <v>35</v>
      </c>
      <c r="S27" s="8">
        <f>IF('Enter Details'!B20=1,8,IF('Enter Details'!B20=2,12,IF('Enter Details'!B20=3,16)))</f>
        <v>12</v>
      </c>
      <c r="T27" s="8" t="s">
        <v>35</v>
      </c>
      <c r="U27" s="8" t="str">
        <f>IF('Enter Details'!$G$20="BM",VLOOKUP('Door Details'!Q27,Sheet3!$C$10:$E$27,3,0),IF('Enter Details'!G$20="AL",VLOOKUP('Door Details'!Q27,Sheet3!$C$10:$G$27,5,0),IF('Enter Details'!G$20="ARM",VLOOKUP('Door Details'!Q27,Sheet3!$C$10:$I$27,7,0),IF('Enter Details'!G$20="RGM",VLOOKUP('Door Details'!Q27,Sheet3!$C$10:$K$27,9,0),IF('Enter Details'!$G$20="CM",VLOOKUP('Door Details'!Q27,Sheet3!$C$10:$M$27,11,0))))))</f>
        <v>034.001.03259</v>
      </c>
      <c r="V27" s="8">
        <f>S27</f>
        <v>12</v>
      </c>
      <c r="W27" s="8" t="s">
        <v>89</v>
      </c>
      <c r="X27" s="8">
        <f>VLOOKUP(U27,Sheet3!$S$3:$T$88,2,0)</f>
        <v>73.968710000000002</v>
      </c>
      <c r="Y27" s="8">
        <f t="shared" si="1"/>
        <v>887.62452000000008</v>
      </c>
    </row>
    <row r="28" spans="2:25" x14ac:dyDescent="0.3">
      <c r="P28" s="8">
        <v>11</v>
      </c>
      <c r="Q28" s="13" t="str">
        <f>IF('Enter Details'!G19="50kg","In Out Soft Close System 50kg",IF('Enter Details'!G19="100kg","In Out Soft Close System 100kg"))</f>
        <v>In Out Soft Close System 50kg</v>
      </c>
      <c r="R28" s="8" t="s">
        <v>35</v>
      </c>
      <c r="S28" s="8">
        <f>IF('Enter Details'!G18="One Side",2,IF('Enter Details'!G18="Two Side",4))</f>
        <v>2</v>
      </c>
      <c r="T28" s="8" t="s">
        <v>35</v>
      </c>
      <c r="U28" s="8" t="str">
        <f>IF('Enter Details'!$G$20="BM",VLOOKUP('Door Details'!Q28,Sheet3!$C$10:$E$27,3,0),IF('Enter Details'!G$20="AL",VLOOKUP('Door Details'!Q28,Sheet3!$C$10:$G$27,5,0),IF('Enter Details'!G$20="ARM",VLOOKUP('Door Details'!Q28,Sheet3!$C$10:$I$27,7,0),IF('Enter Details'!G$20="RGM",VLOOKUP('Door Details'!Q28,Sheet3!$C$10:$K$27,9,0),IF('Enter Details'!$G$20="CM",VLOOKUP('Door Details'!Q28,Sheet3!$C$10:$M$27,11,0))))))</f>
        <v>034.044.03261</v>
      </c>
      <c r="V28" s="8">
        <f>S28</f>
        <v>2</v>
      </c>
      <c r="W28" s="8" t="s">
        <v>89</v>
      </c>
      <c r="X28" s="8">
        <f>VLOOKUP(U28,Sheet3!$S$3:$T$88,2,0)</f>
        <v>3713.6866799999998</v>
      </c>
      <c r="Y28" s="8">
        <f t="shared" si="1"/>
        <v>7427.3733599999996</v>
      </c>
    </row>
    <row r="29" spans="2:25" x14ac:dyDescent="0.3">
      <c r="P29" s="8">
        <v>12</v>
      </c>
      <c r="Q29" s="13" t="s">
        <v>40</v>
      </c>
      <c r="R29" s="8" t="s">
        <v>35</v>
      </c>
      <c r="S29" s="8">
        <v>2</v>
      </c>
      <c r="T29" s="8" t="s">
        <v>35</v>
      </c>
      <c r="U29" s="8" t="str">
        <f>IF('Enter Details'!$G$20="BM",VLOOKUP('Door Details'!Q29,Sheet3!$C$10:$E$27,3,0),IF('Enter Details'!G$20="AL",VLOOKUP('Door Details'!Q29,Sheet3!$C$10:$G$27,5,0),IF('Enter Details'!G$20="ARM",VLOOKUP('Door Details'!Q29,Sheet3!$C$10:$I$27,7,0),IF('Enter Details'!G$20="RGM",VLOOKUP('Door Details'!Q29,Sheet3!$C$10:$K$27,9,0),IF('Enter Details'!$G$20="CM",VLOOKUP('Door Details'!Q29,Sheet3!$C$10:$M$27,11,0))))))</f>
        <v>014.020.03252</v>
      </c>
      <c r="V29" s="8">
        <f t="shared" ref="V29:V30" si="3">S29</f>
        <v>2</v>
      </c>
      <c r="W29" s="8" t="s">
        <v>91</v>
      </c>
      <c r="X29" s="8">
        <f>VLOOKUP(U29,Sheet3!$S$3:$T$88,2,0)</f>
        <v>1116.5785599999999</v>
      </c>
      <c r="Y29" s="8">
        <f t="shared" si="1"/>
        <v>2233.1571199999998</v>
      </c>
    </row>
    <row r="30" spans="2:25" x14ac:dyDescent="0.3">
      <c r="P30" s="8">
        <v>13</v>
      </c>
      <c r="Q30" s="13" t="s">
        <v>41</v>
      </c>
      <c r="R30" s="8" t="s">
        <v>35</v>
      </c>
      <c r="S30" s="8">
        <v>2</v>
      </c>
      <c r="T30" s="8" t="s">
        <v>35</v>
      </c>
      <c r="U30" s="8" t="str">
        <f>IF('Enter Details'!$G$20="BM",VLOOKUP('Door Details'!Q30,Sheet3!$C$10:$E$27,3,0),IF('Enter Details'!G$20="AL",VLOOKUP('Door Details'!Q30,Sheet3!$C$10:$G$27,5,0),IF('Enter Details'!G$20="ARM",VLOOKUP('Door Details'!Q30,Sheet3!$C$10:$I$27,7,0),IF('Enter Details'!G$20="RGM",VLOOKUP('Door Details'!Q30,Sheet3!$C$10:$K$27,9,0),IF('Enter Details'!$G$20="CM",VLOOKUP('Door Details'!Q30,Sheet3!$C$10:$M$27,11,0))))))</f>
        <v>034.091.03253</v>
      </c>
      <c r="V30" s="8">
        <f t="shared" si="3"/>
        <v>2</v>
      </c>
      <c r="W30" s="8" t="s">
        <v>91</v>
      </c>
      <c r="X30" s="8">
        <f>VLOOKUP(U30,Sheet3!$S$3:$T$88,2,0)</f>
        <v>957.59551999999996</v>
      </c>
      <c r="Y30" s="8">
        <f t="shared" si="1"/>
        <v>1915.1910399999999</v>
      </c>
    </row>
    <row r="31" spans="2:25" x14ac:dyDescent="0.3">
      <c r="P31" s="8">
        <v>14</v>
      </c>
      <c r="Q31" s="13" t="str">
        <f>IF('Enter Details'!B20=1,"-","Horizontal Divider Profile,3m")</f>
        <v>Horizontal Divider Profile,3m</v>
      </c>
      <c r="R31" s="8">
        <f>IF('Enter Details'!B20=1,"-",E25)</f>
        <v>1431</v>
      </c>
      <c r="S31" s="8">
        <f>IF('Enter Details'!B20=1,"-",IF('Enter Details'!B20=2,1,IF('Enter Details'!B20=3,2)))</f>
        <v>1</v>
      </c>
      <c r="T31" s="8">
        <f>IFERROR(S31*R31,"-")</f>
        <v>1431</v>
      </c>
      <c r="U31" s="8" t="str">
        <f>IF('Enter Details'!$G$20="BM",VLOOKUP('Door Details'!Q31,Sheet3!$C$10:$E$27,3,0),IF('Enter Details'!G$20="AL",VLOOKUP('Door Details'!Q31,Sheet3!$C$10:$G$27,5,0),IF('Enter Details'!G$20="ARM",VLOOKUP('Door Details'!Q31,Sheet3!$C$10:$I$27,7,0),IF('Enter Details'!G$20="RGM",VLOOKUP('Door Details'!Q31,Sheet3!$C$10:$K$27,9,0),IF('Enter Details'!$G$20="CM",VLOOKUP('Door Details'!Q31,Sheet3!$C$10:$M$27,11,0))))))</f>
        <v>014.020.03466</v>
      </c>
      <c r="V31" s="8">
        <f>IFERROR(ROUNDUP(T31/3000,0),"-")</f>
        <v>1</v>
      </c>
      <c r="W31" s="8" t="s">
        <v>89</v>
      </c>
      <c r="X31" s="8">
        <f>VLOOKUP(U31,Sheet3!$S$3:$T$88,2,0)</f>
        <v>1752.8072</v>
      </c>
      <c r="Y31" s="8">
        <f t="shared" si="1"/>
        <v>1752.8072</v>
      </c>
    </row>
    <row r="32" spans="2:25" x14ac:dyDescent="0.3">
      <c r="P32" s="8">
        <v>15</v>
      </c>
      <c r="Q32" s="13" t="str">
        <f>IF('Enter Details'!G18="One Side","In Out Door Stopper","-")</f>
        <v>In Out Door Stopper</v>
      </c>
      <c r="R32" s="8" t="s">
        <v>35</v>
      </c>
      <c r="S32" s="8">
        <f>IF('Enter Details'!G18="One Side",2,"-")</f>
        <v>2</v>
      </c>
      <c r="T32" s="8" t="s">
        <v>35</v>
      </c>
      <c r="U32" s="8" t="str">
        <f>IF('Enter Details'!$G$20="BM",VLOOKUP('Door Details'!Q32,Sheet3!$C$10:$E$27,3,0),IF('Enter Details'!G$20="AL",VLOOKUP('Door Details'!Q32,Sheet3!$C$10:$G$27,5,0),IF('Enter Details'!G$20="ARM",VLOOKUP('Door Details'!Q32,Sheet3!$C$10:$I$27,7,0),IF('Enter Details'!G$20="RGM",VLOOKUP('Door Details'!Q32,Sheet3!$C$10:$K$27,9,0),IF('Enter Details'!$G$20="CM",VLOOKUP('Door Details'!Q32,Sheet3!$C$10:$M$27,11,0))))))</f>
        <v>014.003.03258</v>
      </c>
      <c r="V32" s="8">
        <f>S32</f>
        <v>2</v>
      </c>
      <c r="W32" s="8" t="str">
        <f>IF(Q32="-","-","set")</f>
        <v>set</v>
      </c>
      <c r="X32" s="8">
        <f>VLOOKUP(U32,Sheet3!$S$3:$T$88,2,0)</f>
        <v>424.29061000000002</v>
      </c>
      <c r="Y32" s="8">
        <f t="shared" si="1"/>
        <v>848.58122000000003</v>
      </c>
    </row>
    <row r="33" spans="5:25" x14ac:dyDescent="0.3">
      <c r="P33" s="8"/>
      <c r="Q33" s="8"/>
      <c r="R33" s="8"/>
      <c r="S33" s="8"/>
      <c r="T33" s="8"/>
      <c r="U33" s="8"/>
      <c r="V33" s="8"/>
      <c r="W33" s="8"/>
      <c r="X33" s="14" t="s">
        <v>57</v>
      </c>
      <c r="Y33" s="14">
        <f>SUM(Y18:Y32)</f>
        <v>39312.366329999997</v>
      </c>
    </row>
    <row r="36" spans="5:25" x14ac:dyDescent="0.3">
      <c r="E36" s="10">
        <f>E17</f>
        <v>1431</v>
      </c>
    </row>
    <row r="37" spans="5:25" x14ac:dyDescent="0.3">
      <c r="E37" s="6" t="s">
        <v>49</v>
      </c>
    </row>
  </sheetData>
  <sheetProtection algorithmName="SHA-512" hashValue="4Lbw30cvTcElUoEAUiTcLFdUOihpbm5JlHl4njY+YtWkeNaMYzaAxFpHQatLUoxtm/Kka5YW0Mfbg2EeB0DjEA==" saltValue="C8jHzJH9rxTu3FNxJzWnig==" spinCount="100000" sheet="1" objects="1" scenarios="1"/>
  <mergeCells count="2">
    <mergeCell ref="R16:S16"/>
    <mergeCell ref="U16:W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88"/>
  <sheetViews>
    <sheetView zoomScaleNormal="100" workbookViewId="0"/>
  </sheetViews>
  <sheetFormatPr defaultColWidth="9.109375" defaultRowHeight="14.4" x14ac:dyDescent="0.3"/>
  <cols>
    <col min="1" max="1" width="9.109375" style="6"/>
    <col min="2" max="2" width="6" style="6" customWidth="1"/>
    <col min="3" max="3" width="32.33203125" style="6" bestFit="1" customWidth="1"/>
    <col min="4" max="4" width="9.109375" style="6"/>
    <col min="5" max="5" width="13.33203125" style="6" bestFit="1" customWidth="1"/>
    <col min="6" max="6" width="13.33203125" style="6" customWidth="1"/>
    <col min="7" max="7" width="13.21875" style="6" bestFit="1" customWidth="1"/>
    <col min="8" max="8" width="13.21875" style="6" customWidth="1"/>
    <col min="9" max="9" width="13.21875" style="6" bestFit="1" customWidth="1"/>
    <col min="10" max="10" width="13.21875" style="6" customWidth="1"/>
    <col min="11" max="11" width="27.6640625" style="6" bestFit="1" customWidth="1"/>
    <col min="12" max="12" width="13" style="6" customWidth="1"/>
    <col min="13" max="13" width="22.88671875" style="6" customWidth="1"/>
    <col min="14" max="18" width="9.109375" style="6"/>
    <col min="19" max="19" width="13.21875" style="6" bestFit="1" customWidth="1"/>
    <col min="20" max="16384" width="9.109375" style="6"/>
  </cols>
  <sheetData>
    <row r="1" spans="1:20" x14ac:dyDescent="0.3">
      <c r="B1" s="6">
        <v>1</v>
      </c>
    </row>
    <row r="2" spans="1:20" x14ac:dyDescent="0.3">
      <c r="A2" s="6">
        <v>2</v>
      </c>
      <c r="B2" s="6">
        <v>2</v>
      </c>
      <c r="C2" s="6" t="s">
        <v>18</v>
      </c>
      <c r="E2" s="6">
        <f>('Enter Details'!B19+22)/2</f>
        <v>1511</v>
      </c>
      <c r="G2" s="6" t="s">
        <v>60</v>
      </c>
      <c r="K2" s="8" t="s">
        <v>24</v>
      </c>
      <c r="L2" s="8" t="s">
        <v>26</v>
      </c>
      <c r="M2" s="6">
        <f>'Door Details'!H26</f>
        <v>2450</v>
      </c>
      <c r="O2" s="6" t="s">
        <v>32</v>
      </c>
      <c r="Q2" s="6" t="s">
        <v>38</v>
      </c>
      <c r="S2" s="12" t="s">
        <v>16</v>
      </c>
      <c r="T2" s="12" t="s">
        <v>30</v>
      </c>
    </row>
    <row r="3" spans="1:20" x14ac:dyDescent="0.3">
      <c r="A3" s="6">
        <v>3</v>
      </c>
      <c r="B3" s="6">
        <v>3</v>
      </c>
      <c r="C3" s="6" t="s">
        <v>19</v>
      </c>
      <c r="G3" s="6" t="s">
        <v>61</v>
      </c>
      <c r="K3" s="8" t="s">
        <v>25</v>
      </c>
      <c r="L3" s="8" t="s">
        <v>27</v>
      </c>
      <c r="O3" s="6" t="s">
        <v>33</v>
      </c>
      <c r="Q3" s="6" t="s">
        <v>39</v>
      </c>
      <c r="S3" s="8" t="s">
        <v>4</v>
      </c>
      <c r="T3" s="17">
        <v>844.20500000000004</v>
      </c>
    </row>
    <row r="4" spans="1:20" x14ac:dyDescent="0.3">
      <c r="C4" s="6" t="s">
        <v>80</v>
      </c>
      <c r="G4" s="6" t="s">
        <v>62</v>
      </c>
      <c r="K4" s="8" t="s">
        <v>81</v>
      </c>
      <c r="L4" s="8" t="s">
        <v>79</v>
      </c>
      <c r="S4" s="8" t="s">
        <v>49</v>
      </c>
      <c r="T4" s="17">
        <v>1386.9050999999999</v>
      </c>
    </row>
    <row r="5" spans="1:20" x14ac:dyDescent="0.3">
      <c r="G5" s="6" t="s">
        <v>63</v>
      </c>
      <c r="S5" s="8" t="s">
        <v>59</v>
      </c>
      <c r="T5" s="17">
        <v>1815.3514</v>
      </c>
    </row>
    <row r="6" spans="1:20" x14ac:dyDescent="0.3">
      <c r="G6" s="6" t="s">
        <v>94</v>
      </c>
      <c r="S6" s="8" t="s">
        <v>22</v>
      </c>
      <c r="T6" s="17">
        <v>103.66827000000001</v>
      </c>
    </row>
    <row r="7" spans="1:20" x14ac:dyDescent="0.3">
      <c r="B7" s="6">
        <f>'Enter Details'!B37-68</f>
        <v>2382</v>
      </c>
      <c r="C7" s="6">
        <f>('Enter Details'!B37-68-14)/2</f>
        <v>1184</v>
      </c>
      <c r="D7" s="6">
        <f>ROUNDUP(('Enter Details'!B37-68-28)/3,0)</f>
        <v>785</v>
      </c>
      <c r="K7" s="6">
        <f>('Enter Details'!B36*2)</f>
        <v>3022</v>
      </c>
      <c r="S7" s="8" t="s">
        <v>23</v>
      </c>
      <c r="T7" s="17">
        <v>80.69314</v>
      </c>
    </row>
    <row r="8" spans="1:20" x14ac:dyDescent="0.3">
      <c r="E8" s="6" t="s">
        <v>60</v>
      </c>
      <c r="G8" s="6" t="s">
        <v>61</v>
      </c>
      <c r="I8" s="6" t="s">
        <v>62</v>
      </c>
      <c r="K8" s="6" t="s">
        <v>63</v>
      </c>
      <c r="M8" s="6" t="s">
        <v>94</v>
      </c>
      <c r="S8" s="8" t="s">
        <v>26</v>
      </c>
      <c r="T8" s="17">
        <v>207.81833</v>
      </c>
    </row>
    <row r="9" spans="1:20" x14ac:dyDescent="0.3">
      <c r="B9" s="12" t="s">
        <v>10</v>
      </c>
      <c r="C9" s="12" t="s">
        <v>11</v>
      </c>
      <c r="D9" s="12" t="s">
        <v>30</v>
      </c>
      <c r="E9" s="12" t="s">
        <v>16</v>
      </c>
      <c r="F9" s="12"/>
      <c r="G9" s="12" t="s">
        <v>16</v>
      </c>
      <c r="H9" s="12"/>
      <c r="I9" s="12" t="s">
        <v>16</v>
      </c>
      <c r="J9" s="12"/>
      <c r="K9" s="12" t="s">
        <v>16</v>
      </c>
      <c r="L9" s="16"/>
      <c r="M9" s="16" t="s">
        <v>16</v>
      </c>
      <c r="S9" s="8" t="s">
        <v>27</v>
      </c>
      <c r="T9" s="17">
        <v>122.39152</v>
      </c>
    </row>
    <row r="10" spans="1:20" x14ac:dyDescent="0.3">
      <c r="B10" s="8">
        <v>1</v>
      </c>
      <c r="C10" s="8" t="s">
        <v>29</v>
      </c>
      <c r="D10" s="8">
        <v>673.9</v>
      </c>
      <c r="E10" s="8" t="s">
        <v>4</v>
      </c>
      <c r="F10" s="8">
        <v>523.6</v>
      </c>
      <c r="G10" s="8" t="s">
        <v>73</v>
      </c>
      <c r="H10" s="8">
        <v>908.95</v>
      </c>
      <c r="I10" s="8" t="s">
        <v>74</v>
      </c>
      <c r="J10" s="8">
        <v>908.95</v>
      </c>
      <c r="K10" s="8" t="s">
        <v>75</v>
      </c>
      <c r="L10" s="8">
        <v>908.95</v>
      </c>
      <c r="M10" s="8" t="s">
        <v>95</v>
      </c>
      <c r="S10" s="8" t="s">
        <v>79</v>
      </c>
      <c r="T10" s="17">
        <v>403.89202</v>
      </c>
    </row>
    <row r="11" spans="1:20" x14ac:dyDescent="0.3">
      <c r="B11" s="8">
        <v>2</v>
      </c>
      <c r="C11" s="8" t="s">
        <v>42</v>
      </c>
      <c r="D11" s="8">
        <v>1131.5999999999999</v>
      </c>
      <c r="E11" s="8" t="s">
        <v>49</v>
      </c>
      <c r="F11" s="8">
        <v>1060.4000000000001</v>
      </c>
      <c r="G11" s="8" t="s">
        <v>76</v>
      </c>
      <c r="H11" s="8">
        <v>1541.05</v>
      </c>
      <c r="I11" s="8" t="s">
        <v>77</v>
      </c>
      <c r="J11" s="8">
        <v>1541.05</v>
      </c>
      <c r="K11" s="8" t="s">
        <v>78</v>
      </c>
      <c r="L11" s="8">
        <v>1541.05</v>
      </c>
      <c r="M11" s="8" t="s">
        <v>96</v>
      </c>
      <c r="S11" s="8" t="s">
        <v>50</v>
      </c>
      <c r="T11" s="17">
        <v>3427.5922</v>
      </c>
    </row>
    <row r="12" spans="1:20" x14ac:dyDescent="0.3">
      <c r="B12" s="8">
        <v>3</v>
      </c>
      <c r="C12" s="13" t="s">
        <v>84</v>
      </c>
      <c r="D12" s="8">
        <v>1481.2</v>
      </c>
      <c r="E12" s="8" t="s">
        <v>59</v>
      </c>
      <c r="F12" s="8">
        <v>1339.8</v>
      </c>
      <c r="G12" s="8" t="s">
        <v>85</v>
      </c>
      <c r="H12" s="8">
        <v>2018.8</v>
      </c>
      <c r="I12" s="8" t="s">
        <v>86</v>
      </c>
      <c r="J12" s="8">
        <v>2018.8</v>
      </c>
      <c r="K12" s="8" t="s">
        <v>87</v>
      </c>
      <c r="L12" s="8">
        <v>2018.8</v>
      </c>
      <c r="M12" s="8" t="s">
        <v>97</v>
      </c>
      <c r="S12" s="8" t="s">
        <v>51</v>
      </c>
      <c r="T12" s="17">
        <v>1901.0472</v>
      </c>
    </row>
    <row r="13" spans="1:20" x14ac:dyDescent="0.3">
      <c r="B13" s="8">
        <v>4</v>
      </c>
      <c r="C13" s="8" t="s">
        <v>20</v>
      </c>
      <c r="D13" s="8">
        <v>84.48</v>
      </c>
      <c r="E13" s="8" t="s">
        <v>22</v>
      </c>
      <c r="F13" s="8">
        <v>84.48</v>
      </c>
      <c r="G13" s="8" t="s">
        <v>22</v>
      </c>
      <c r="H13" s="8">
        <v>84.48</v>
      </c>
      <c r="I13" s="8" t="s">
        <v>22</v>
      </c>
      <c r="J13" s="8">
        <v>84.48</v>
      </c>
      <c r="K13" s="8" t="s">
        <v>22</v>
      </c>
      <c r="L13" s="8">
        <v>84.48</v>
      </c>
      <c r="M13" s="8" t="s">
        <v>22</v>
      </c>
      <c r="S13" s="8" t="s">
        <v>36</v>
      </c>
      <c r="T13" s="17">
        <v>73.968710000000002</v>
      </c>
    </row>
    <row r="14" spans="1:20" x14ac:dyDescent="0.3">
      <c r="B14" s="8">
        <v>5</v>
      </c>
      <c r="C14" s="8" t="s">
        <v>21</v>
      </c>
      <c r="D14" s="8">
        <v>66.56</v>
      </c>
      <c r="E14" s="8" t="s">
        <v>23</v>
      </c>
      <c r="F14" s="8">
        <v>66.56</v>
      </c>
      <c r="G14" s="8" t="s">
        <v>23</v>
      </c>
      <c r="H14" s="8">
        <v>66.56</v>
      </c>
      <c r="I14" s="8" t="s">
        <v>23</v>
      </c>
      <c r="J14" s="8">
        <v>66.56</v>
      </c>
      <c r="K14" s="8" t="s">
        <v>23</v>
      </c>
      <c r="L14" s="8">
        <v>66.56</v>
      </c>
      <c r="M14" s="8" t="s">
        <v>23</v>
      </c>
      <c r="S14" s="8" t="s">
        <v>52</v>
      </c>
      <c r="T14" s="17">
        <v>4571.5711799999999</v>
      </c>
    </row>
    <row r="15" spans="1:20" x14ac:dyDescent="0.3">
      <c r="B15" s="8">
        <v>6</v>
      </c>
      <c r="C15" s="8" t="s">
        <v>24</v>
      </c>
      <c r="D15" s="8">
        <v>176</v>
      </c>
      <c r="E15" s="8" t="s">
        <v>26</v>
      </c>
      <c r="F15" s="8">
        <v>176</v>
      </c>
      <c r="G15" s="8" t="s">
        <v>26</v>
      </c>
      <c r="H15" s="8">
        <v>176</v>
      </c>
      <c r="I15" s="8" t="s">
        <v>26</v>
      </c>
      <c r="J15" s="8">
        <v>176</v>
      </c>
      <c r="K15" s="8" t="s">
        <v>26</v>
      </c>
      <c r="L15" s="8">
        <v>176</v>
      </c>
      <c r="M15" s="8" t="s">
        <v>26</v>
      </c>
      <c r="S15" s="8" t="s">
        <v>53</v>
      </c>
      <c r="T15" s="17">
        <v>3713.6866799999998</v>
      </c>
    </row>
    <row r="16" spans="1:20" x14ac:dyDescent="0.3">
      <c r="B16" s="8">
        <v>7</v>
      </c>
      <c r="C16" s="8" t="s">
        <v>25</v>
      </c>
      <c r="D16" s="8">
        <v>83.2</v>
      </c>
      <c r="E16" s="8" t="s">
        <v>27</v>
      </c>
      <c r="F16" s="8">
        <v>83.2</v>
      </c>
      <c r="G16" s="8" t="s">
        <v>27</v>
      </c>
      <c r="H16" s="8">
        <v>83.2</v>
      </c>
      <c r="I16" s="8" t="s">
        <v>27</v>
      </c>
      <c r="J16" s="8">
        <v>83.2</v>
      </c>
      <c r="K16" s="8" t="s">
        <v>27</v>
      </c>
      <c r="L16" s="8">
        <v>83.2</v>
      </c>
      <c r="M16" s="8" t="s">
        <v>27</v>
      </c>
      <c r="S16" s="8" t="s">
        <v>54</v>
      </c>
      <c r="T16" s="17">
        <v>1116.5785599999999</v>
      </c>
    </row>
    <row r="17" spans="2:20" x14ac:dyDescent="0.3">
      <c r="B17" s="8">
        <v>8</v>
      </c>
      <c r="C17" s="8" t="s">
        <v>81</v>
      </c>
      <c r="D17" s="8">
        <v>338.38</v>
      </c>
      <c r="E17" s="8" t="s">
        <v>79</v>
      </c>
      <c r="F17" s="8">
        <v>338.38</v>
      </c>
      <c r="G17" s="8" t="s">
        <v>79</v>
      </c>
      <c r="H17" s="8">
        <v>338.38</v>
      </c>
      <c r="I17" s="8" t="s">
        <v>79</v>
      </c>
      <c r="J17" s="8">
        <v>338.38</v>
      </c>
      <c r="K17" s="8" t="s">
        <v>79</v>
      </c>
      <c r="L17" s="8">
        <v>338.38</v>
      </c>
      <c r="M17" s="8" t="s">
        <v>79</v>
      </c>
      <c r="S17" s="8" t="s">
        <v>55</v>
      </c>
      <c r="T17" s="17">
        <v>957.59551999999996</v>
      </c>
    </row>
    <row r="18" spans="2:20" x14ac:dyDescent="0.3">
      <c r="B18" s="8">
        <v>9</v>
      </c>
      <c r="C18" s="8" t="s">
        <v>43</v>
      </c>
      <c r="D18" s="8">
        <v>2794.5</v>
      </c>
      <c r="E18" s="8" t="s">
        <v>50</v>
      </c>
      <c r="F18" s="8">
        <v>2530</v>
      </c>
      <c r="G18" s="8" t="s">
        <v>64</v>
      </c>
      <c r="H18" s="8">
        <v>3809.75</v>
      </c>
      <c r="I18" s="8" t="s">
        <v>65</v>
      </c>
      <c r="J18" s="8">
        <v>3809.75</v>
      </c>
      <c r="K18" s="8" t="s">
        <v>66</v>
      </c>
      <c r="L18" s="8">
        <v>3809.75</v>
      </c>
      <c r="M18" s="8" t="s">
        <v>98</v>
      </c>
      <c r="S18" s="8" t="s">
        <v>6</v>
      </c>
      <c r="T18" s="17">
        <v>1371.0346999999999</v>
      </c>
    </row>
    <row r="19" spans="2:20" x14ac:dyDescent="0.3">
      <c r="B19" s="8">
        <v>10</v>
      </c>
      <c r="C19" s="8" t="s">
        <v>44</v>
      </c>
      <c r="D19" s="8">
        <v>1550.2</v>
      </c>
      <c r="E19" s="8" t="s">
        <v>51</v>
      </c>
      <c r="F19" s="8">
        <v>1403.6</v>
      </c>
      <c r="G19" s="8" t="s">
        <v>67</v>
      </c>
      <c r="H19" s="8">
        <v>2114.35</v>
      </c>
      <c r="I19" s="8" t="s">
        <v>68</v>
      </c>
      <c r="J19" s="8">
        <v>2114.35</v>
      </c>
      <c r="K19" s="8" t="s">
        <v>69</v>
      </c>
      <c r="L19" s="8">
        <v>2114.35</v>
      </c>
      <c r="M19" s="8" t="s">
        <v>99</v>
      </c>
      <c r="S19" s="8" t="s">
        <v>56</v>
      </c>
      <c r="T19" s="17">
        <v>424.29061000000002</v>
      </c>
    </row>
    <row r="20" spans="2:20" x14ac:dyDescent="0.3">
      <c r="B20" s="8">
        <v>11</v>
      </c>
      <c r="C20" s="8" t="s">
        <v>34</v>
      </c>
      <c r="D20" s="8">
        <v>62</v>
      </c>
      <c r="E20" s="8" t="s">
        <v>36</v>
      </c>
      <c r="F20" s="8">
        <v>62</v>
      </c>
      <c r="G20" s="8" t="s">
        <v>36</v>
      </c>
      <c r="H20" s="8">
        <v>62</v>
      </c>
      <c r="I20" s="8" t="s">
        <v>36</v>
      </c>
      <c r="J20" s="8">
        <v>62</v>
      </c>
      <c r="K20" s="8" t="s">
        <v>36</v>
      </c>
      <c r="L20" s="8">
        <v>62</v>
      </c>
      <c r="M20" s="8" t="s">
        <v>36</v>
      </c>
      <c r="S20" s="8" t="s">
        <v>73</v>
      </c>
      <c r="T20" s="17">
        <v>799.23159999999996</v>
      </c>
    </row>
    <row r="21" spans="2:20" x14ac:dyDescent="0.3">
      <c r="B21" s="8">
        <v>12</v>
      </c>
      <c r="C21" s="8" t="s">
        <v>45</v>
      </c>
      <c r="D21" s="8">
        <v>3721.6</v>
      </c>
      <c r="E21" s="8" t="s">
        <v>52</v>
      </c>
      <c r="F21" s="8">
        <v>3721.6</v>
      </c>
      <c r="G21" s="8" t="s">
        <v>52</v>
      </c>
      <c r="H21" s="8">
        <v>3721.6</v>
      </c>
      <c r="I21" s="8" t="s">
        <v>52</v>
      </c>
      <c r="J21" s="8">
        <v>3721.6</v>
      </c>
      <c r="K21" s="8" t="s">
        <v>52</v>
      </c>
      <c r="L21" s="8">
        <v>3721.6</v>
      </c>
      <c r="M21" s="8" t="s">
        <v>52</v>
      </c>
      <c r="S21" s="8" t="s">
        <v>76</v>
      </c>
      <c r="T21" s="17">
        <v>1313.0248999999999</v>
      </c>
    </row>
    <row r="22" spans="2:20" x14ac:dyDescent="0.3">
      <c r="B22" s="8">
        <v>13</v>
      </c>
      <c r="C22" s="8" t="s">
        <v>46</v>
      </c>
      <c r="D22" s="8">
        <v>3024</v>
      </c>
      <c r="E22" s="8" t="s">
        <v>53</v>
      </c>
      <c r="F22" s="8">
        <v>3024</v>
      </c>
      <c r="G22" s="8" t="s">
        <v>53</v>
      </c>
      <c r="H22" s="8">
        <v>3024</v>
      </c>
      <c r="I22" s="8" t="s">
        <v>53</v>
      </c>
      <c r="J22" s="8">
        <v>3024</v>
      </c>
      <c r="K22" s="8" t="s">
        <v>53</v>
      </c>
      <c r="L22" s="8">
        <v>3024</v>
      </c>
      <c r="M22" s="8" t="s">
        <v>53</v>
      </c>
      <c r="S22" s="8" t="s">
        <v>85</v>
      </c>
      <c r="T22" s="17">
        <v>1718.6575</v>
      </c>
    </row>
    <row r="23" spans="2:20" x14ac:dyDescent="0.3">
      <c r="B23" s="8">
        <v>14</v>
      </c>
      <c r="C23" s="8" t="s">
        <v>40</v>
      </c>
      <c r="D23" s="8">
        <v>936</v>
      </c>
      <c r="E23" s="8" t="s">
        <v>54</v>
      </c>
      <c r="F23" s="8">
        <v>936</v>
      </c>
      <c r="G23" s="8" t="s">
        <v>54</v>
      </c>
      <c r="H23" s="8">
        <v>936</v>
      </c>
      <c r="I23" s="8" t="s">
        <v>54</v>
      </c>
      <c r="J23" s="8">
        <v>936</v>
      </c>
      <c r="K23" s="8" t="s">
        <v>54</v>
      </c>
      <c r="L23" s="8">
        <v>936</v>
      </c>
      <c r="M23" s="8" t="s">
        <v>54</v>
      </c>
      <c r="S23" s="8" t="s">
        <v>22</v>
      </c>
      <c r="T23" s="17">
        <v>103.66827000000001</v>
      </c>
    </row>
    <row r="24" spans="2:20" x14ac:dyDescent="0.3">
      <c r="B24" s="8">
        <v>15</v>
      </c>
      <c r="C24" s="8" t="s">
        <v>41</v>
      </c>
      <c r="D24" s="8">
        <v>802</v>
      </c>
      <c r="E24" s="8" t="s">
        <v>55</v>
      </c>
      <c r="F24" s="8">
        <v>802</v>
      </c>
      <c r="G24" s="8" t="s">
        <v>55</v>
      </c>
      <c r="H24" s="8">
        <v>802</v>
      </c>
      <c r="I24" s="8" t="s">
        <v>55</v>
      </c>
      <c r="J24" s="8">
        <v>802</v>
      </c>
      <c r="K24" s="8" t="s">
        <v>55</v>
      </c>
      <c r="L24" s="8">
        <v>802</v>
      </c>
      <c r="M24" s="8" t="s">
        <v>55</v>
      </c>
      <c r="S24" s="8" t="s">
        <v>23</v>
      </c>
      <c r="T24" s="17">
        <v>80.69314</v>
      </c>
    </row>
    <row r="25" spans="2:20" x14ac:dyDescent="0.3">
      <c r="B25" s="8">
        <v>16</v>
      </c>
      <c r="C25" s="8" t="s">
        <v>47</v>
      </c>
      <c r="D25" s="8">
        <v>1117.8</v>
      </c>
      <c r="E25" s="8" t="s">
        <v>6</v>
      </c>
      <c r="F25" s="8">
        <v>1012</v>
      </c>
      <c r="G25" s="8" t="s">
        <v>70</v>
      </c>
      <c r="H25" s="8">
        <v>1523.9</v>
      </c>
      <c r="I25" s="8" t="s">
        <v>71</v>
      </c>
      <c r="J25" s="8">
        <v>1523.9</v>
      </c>
      <c r="K25" s="8" t="s">
        <v>72</v>
      </c>
      <c r="L25" s="8">
        <v>1523.9</v>
      </c>
      <c r="M25" s="8" t="s">
        <v>100</v>
      </c>
      <c r="S25" s="8" t="s">
        <v>26</v>
      </c>
      <c r="T25" s="17">
        <v>207.81833</v>
      </c>
    </row>
    <row r="26" spans="2:20" x14ac:dyDescent="0.3">
      <c r="B26" s="8">
        <v>17</v>
      </c>
      <c r="C26" s="8" t="s">
        <v>48</v>
      </c>
      <c r="D26" s="8">
        <v>704</v>
      </c>
      <c r="E26" s="8" t="s">
        <v>56</v>
      </c>
      <c r="F26" s="8">
        <v>704</v>
      </c>
      <c r="G26" s="8" t="s">
        <v>56</v>
      </c>
      <c r="H26" s="8">
        <v>704</v>
      </c>
      <c r="I26" s="8" t="s">
        <v>56</v>
      </c>
      <c r="J26" s="8">
        <v>704</v>
      </c>
      <c r="K26" s="8" t="s">
        <v>56</v>
      </c>
      <c r="L26" s="8">
        <v>704</v>
      </c>
      <c r="M26" s="8" t="s">
        <v>56</v>
      </c>
      <c r="S26" s="8" t="s">
        <v>27</v>
      </c>
      <c r="T26" s="17">
        <v>122.39152</v>
      </c>
    </row>
    <row r="27" spans="2:20" x14ac:dyDescent="0.3">
      <c r="B27" s="8">
        <v>18</v>
      </c>
      <c r="C27" s="8" t="s">
        <v>35</v>
      </c>
      <c r="D27" s="8" t="s">
        <v>35</v>
      </c>
      <c r="E27" s="8" t="s">
        <v>35</v>
      </c>
      <c r="F27" s="8" t="s">
        <v>35</v>
      </c>
      <c r="G27" s="8" t="s">
        <v>35</v>
      </c>
      <c r="H27" s="8" t="s">
        <v>35</v>
      </c>
      <c r="I27" s="8" t="s">
        <v>35</v>
      </c>
      <c r="J27" s="8" t="s">
        <v>35</v>
      </c>
      <c r="K27" s="8" t="s">
        <v>35</v>
      </c>
      <c r="L27" s="8" t="s">
        <v>35</v>
      </c>
      <c r="M27" s="8" t="s">
        <v>35</v>
      </c>
      <c r="S27" s="8" t="s">
        <v>79</v>
      </c>
      <c r="T27" s="17">
        <v>403.89202</v>
      </c>
    </row>
    <row r="28" spans="2:20" x14ac:dyDescent="0.3">
      <c r="S28" s="8" t="s">
        <v>64</v>
      </c>
      <c r="T28" s="17">
        <v>3245.0063</v>
      </c>
    </row>
    <row r="29" spans="2:20" x14ac:dyDescent="0.3">
      <c r="S29" s="8" t="s">
        <v>67</v>
      </c>
      <c r="T29" s="17">
        <v>1733.7284999999999</v>
      </c>
    </row>
    <row r="30" spans="2:20" x14ac:dyDescent="0.3">
      <c r="S30" s="8" t="s">
        <v>36</v>
      </c>
      <c r="T30" s="17">
        <v>73.968710000000002</v>
      </c>
    </row>
    <row r="31" spans="2:20" x14ac:dyDescent="0.3">
      <c r="S31" s="8" t="s">
        <v>52</v>
      </c>
      <c r="T31" s="17">
        <v>4571.5711799999999</v>
      </c>
    </row>
    <row r="32" spans="2:20" x14ac:dyDescent="0.3">
      <c r="S32" s="8" t="s">
        <v>53</v>
      </c>
      <c r="T32" s="17">
        <v>3713.6866799999998</v>
      </c>
    </row>
    <row r="33" spans="19:20" x14ac:dyDescent="0.3">
      <c r="S33" s="8" t="s">
        <v>54</v>
      </c>
      <c r="T33" s="17">
        <v>1116.5785599999999</v>
      </c>
    </row>
    <row r="34" spans="19:20" x14ac:dyDescent="0.3">
      <c r="S34" s="8" t="s">
        <v>55</v>
      </c>
      <c r="T34" s="17">
        <v>957.59551999999996</v>
      </c>
    </row>
    <row r="35" spans="19:20" x14ac:dyDescent="0.3">
      <c r="S35" s="8" t="s">
        <v>70</v>
      </c>
      <c r="T35" s="17">
        <v>1298.0047</v>
      </c>
    </row>
    <row r="36" spans="19:20" x14ac:dyDescent="0.3">
      <c r="S36" s="8" t="s">
        <v>56</v>
      </c>
      <c r="T36" s="17">
        <v>424.29061000000002</v>
      </c>
    </row>
    <row r="37" spans="19:20" x14ac:dyDescent="0.3">
      <c r="S37" s="8" t="s">
        <v>74</v>
      </c>
      <c r="T37" s="17">
        <v>1079.2744</v>
      </c>
    </row>
    <row r="38" spans="19:20" x14ac:dyDescent="0.3">
      <c r="S38" s="8" t="s">
        <v>77</v>
      </c>
      <c r="T38" s="17">
        <v>1773.0921000000001</v>
      </c>
    </row>
    <row r="39" spans="19:20" x14ac:dyDescent="0.3">
      <c r="S39" s="8" t="s">
        <v>86</v>
      </c>
      <c r="T39" s="17">
        <v>2320.8389000000002</v>
      </c>
    </row>
    <row r="40" spans="19:20" x14ac:dyDescent="0.3">
      <c r="S40" s="8" t="s">
        <v>22</v>
      </c>
      <c r="T40" s="17">
        <v>103.66827000000001</v>
      </c>
    </row>
    <row r="41" spans="19:20" x14ac:dyDescent="0.3">
      <c r="S41" s="8" t="s">
        <v>23</v>
      </c>
      <c r="T41" s="17">
        <v>80.69314</v>
      </c>
    </row>
    <row r="42" spans="19:20" x14ac:dyDescent="0.3">
      <c r="S42" s="8" t="s">
        <v>26</v>
      </c>
      <c r="T42" s="17">
        <v>207.81833</v>
      </c>
    </row>
    <row r="43" spans="19:20" x14ac:dyDescent="0.3">
      <c r="S43" s="8" t="s">
        <v>27</v>
      </c>
      <c r="T43" s="17">
        <v>122.39152</v>
      </c>
    </row>
    <row r="44" spans="19:20" x14ac:dyDescent="0.3">
      <c r="S44" s="8" t="s">
        <v>79</v>
      </c>
      <c r="T44" s="17">
        <v>403.89202</v>
      </c>
    </row>
    <row r="45" spans="19:20" x14ac:dyDescent="0.3">
      <c r="S45" s="8" t="s">
        <v>65</v>
      </c>
      <c r="T45" s="17">
        <v>4382.0070999999998</v>
      </c>
    </row>
    <row r="46" spans="19:20" x14ac:dyDescent="0.3">
      <c r="S46" s="8" t="s">
        <v>68</v>
      </c>
      <c r="T46" s="17">
        <v>2341.2060000000001</v>
      </c>
    </row>
    <row r="47" spans="19:20" x14ac:dyDescent="0.3">
      <c r="S47" s="8" t="s">
        <v>36</v>
      </c>
      <c r="T47" s="17">
        <v>73.968710000000002</v>
      </c>
    </row>
    <row r="48" spans="19:20" x14ac:dyDescent="0.3">
      <c r="S48" s="8" t="s">
        <v>52</v>
      </c>
      <c r="T48" s="17">
        <v>4571.5711799999999</v>
      </c>
    </row>
    <row r="49" spans="19:20" x14ac:dyDescent="0.3">
      <c r="S49" s="8" t="s">
        <v>53</v>
      </c>
      <c r="T49" s="17">
        <v>3713.6866799999998</v>
      </c>
    </row>
    <row r="50" spans="19:20" x14ac:dyDescent="0.3">
      <c r="S50" s="8" t="s">
        <v>54</v>
      </c>
      <c r="T50" s="17">
        <v>1116.5785599999999</v>
      </c>
    </row>
    <row r="51" spans="19:20" x14ac:dyDescent="0.3">
      <c r="S51" s="8" t="s">
        <v>55</v>
      </c>
      <c r="T51" s="17">
        <v>957.59551999999996</v>
      </c>
    </row>
    <row r="52" spans="19:20" x14ac:dyDescent="0.3">
      <c r="S52" s="8" t="s">
        <v>71</v>
      </c>
      <c r="T52" s="17">
        <v>1752.8072</v>
      </c>
    </row>
    <row r="53" spans="19:20" x14ac:dyDescent="0.3">
      <c r="S53" s="8" t="s">
        <v>56</v>
      </c>
      <c r="T53" s="17">
        <v>424.29061000000002</v>
      </c>
    </row>
    <row r="54" spans="19:20" x14ac:dyDescent="0.3">
      <c r="S54" s="8" t="s">
        <v>75</v>
      </c>
      <c r="T54" s="17">
        <v>1079.2744</v>
      </c>
    </row>
    <row r="55" spans="19:20" x14ac:dyDescent="0.3">
      <c r="S55" s="8" t="s">
        <v>78</v>
      </c>
      <c r="T55" s="17">
        <v>1773.0921000000001</v>
      </c>
    </row>
    <row r="56" spans="19:20" x14ac:dyDescent="0.3">
      <c r="S56" s="8" t="s">
        <v>87</v>
      </c>
      <c r="T56" s="17">
        <v>2320.8389000000002</v>
      </c>
    </row>
    <row r="57" spans="19:20" x14ac:dyDescent="0.3">
      <c r="S57" s="8" t="s">
        <v>22</v>
      </c>
      <c r="T57" s="17">
        <v>103.66827000000001</v>
      </c>
    </row>
    <row r="58" spans="19:20" x14ac:dyDescent="0.3">
      <c r="S58" s="8" t="s">
        <v>23</v>
      </c>
      <c r="T58" s="17">
        <v>80.69314</v>
      </c>
    </row>
    <row r="59" spans="19:20" x14ac:dyDescent="0.3">
      <c r="S59" s="8" t="s">
        <v>26</v>
      </c>
      <c r="T59" s="17">
        <v>207.81833</v>
      </c>
    </row>
    <row r="60" spans="19:20" x14ac:dyDescent="0.3">
      <c r="S60" s="8" t="s">
        <v>27</v>
      </c>
      <c r="T60" s="17">
        <v>122.39152</v>
      </c>
    </row>
    <row r="61" spans="19:20" x14ac:dyDescent="0.3">
      <c r="S61" s="8" t="s">
        <v>79</v>
      </c>
      <c r="T61" s="17">
        <v>403.89202</v>
      </c>
    </row>
    <row r="62" spans="19:20" x14ac:dyDescent="0.3">
      <c r="S62" s="8" t="s">
        <v>66</v>
      </c>
      <c r="T62" s="17">
        <v>4382.0070999999998</v>
      </c>
    </row>
    <row r="63" spans="19:20" x14ac:dyDescent="0.3">
      <c r="S63" s="8" t="s">
        <v>69</v>
      </c>
      <c r="T63" s="17">
        <v>2430.3948</v>
      </c>
    </row>
    <row r="64" spans="19:20" x14ac:dyDescent="0.3">
      <c r="S64" s="8" t="s">
        <v>36</v>
      </c>
      <c r="T64" s="17">
        <v>73.968710000000002</v>
      </c>
    </row>
    <row r="65" spans="19:20" x14ac:dyDescent="0.3">
      <c r="S65" s="8" t="s">
        <v>52</v>
      </c>
      <c r="T65" s="17">
        <v>4571.5711799999999</v>
      </c>
    </row>
    <row r="66" spans="19:20" x14ac:dyDescent="0.3">
      <c r="S66" s="8" t="s">
        <v>53</v>
      </c>
      <c r="T66" s="17">
        <v>3713.6866799999998</v>
      </c>
    </row>
    <row r="67" spans="19:20" x14ac:dyDescent="0.3">
      <c r="S67" s="8" t="s">
        <v>54</v>
      </c>
      <c r="T67" s="17">
        <v>1116.5785599999999</v>
      </c>
    </row>
    <row r="68" spans="19:20" x14ac:dyDescent="0.3">
      <c r="S68" s="8" t="s">
        <v>55</v>
      </c>
      <c r="T68" s="17">
        <v>957.59551999999996</v>
      </c>
    </row>
    <row r="69" spans="19:20" x14ac:dyDescent="0.3">
      <c r="S69" s="8" t="s">
        <v>72</v>
      </c>
      <c r="T69" s="17">
        <v>1752.8072</v>
      </c>
    </row>
    <row r="70" spans="19:20" x14ac:dyDescent="0.3">
      <c r="S70" s="8" t="s">
        <v>56</v>
      </c>
      <c r="T70" s="17">
        <v>424.29061000000002</v>
      </c>
    </row>
    <row r="71" spans="19:20" x14ac:dyDescent="0.3">
      <c r="S71" s="8" t="s">
        <v>95</v>
      </c>
      <c r="T71" s="17">
        <v>831.9425</v>
      </c>
    </row>
    <row r="72" spans="19:20" x14ac:dyDescent="0.3">
      <c r="S72" s="8" t="s">
        <v>96</v>
      </c>
      <c r="T72" s="17">
        <v>1366.7619</v>
      </c>
    </row>
    <row r="73" spans="19:20" x14ac:dyDescent="0.3">
      <c r="S73" s="8" t="s">
        <v>97</v>
      </c>
      <c r="T73" s="17">
        <v>1788.9843000000001</v>
      </c>
    </row>
    <row r="74" spans="19:20" x14ac:dyDescent="0.3">
      <c r="S74" s="8" t="s">
        <v>22</v>
      </c>
      <c r="T74" s="17">
        <v>103.66827000000001</v>
      </c>
    </row>
    <row r="75" spans="19:20" x14ac:dyDescent="0.3">
      <c r="S75" s="8" t="s">
        <v>23</v>
      </c>
      <c r="T75" s="17">
        <v>80.69314</v>
      </c>
    </row>
    <row r="76" spans="19:20" x14ac:dyDescent="0.3">
      <c r="S76" s="8" t="s">
        <v>26</v>
      </c>
      <c r="T76" s="17">
        <v>207.81833</v>
      </c>
    </row>
    <row r="77" spans="19:20" x14ac:dyDescent="0.3">
      <c r="S77" s="8" t="s">
        <v>27</v>
      </c>
      <c r="T77" s="17">
        <v>122.39152</v>
      </c>
    </row>
    <row r="78" spans="19:20" x14ac:dyDescent="0.3">
      <c r="S78" s="8" t="s">
        <v>79</v>
      </c>
      <c r="T78" s="17">
        <v>403.89202</v>
      </c>
    </row>
    <row r="79" spans="19:20" x14ac:dyDescent="0.3">
      <c r="S79" s="8" t="s">
        <v>98</v>
      </c>
      <c r="T79" s="17">
        <v>3377.8009999999999</v>
      </c>
    </row>
    <row r="80" spans="19:20" x14ac:dyDescent="0.3">
      <c r="S80" s="8" t="s">
        <v>99</v>
      </c>
      <c r="T80" s="17">
        <v>1873.4266</v>
      </c>
    </row>
    <row r="81" spans="19:20" x14ac:dyDescent="0.3">
      <c r="S81" s="8" t="s">
        <v>36</v>
      </c>
      <c r="T81" s="17">
        <v>73.968710000000002</v>
      </c>
    </row>
    <row r="82" spans="19:20" x14ac:dyDescent="0.3">
      <c r="S82" s="8" t="s">
        <v>52</v>
      </c>
      <c r="T82" s="17">
        <v>4571.5711799999999</v>
      </c>
    </row>
    <row r="83" spans="19:20" x14ac:dyDescent="0.3">
      <c r="S83" s="8" t="s">
        <v>53</v>
      </c>
      <c r="T83" s="17">
        <v>3713.6866799999998</v>
      </c>
    </row>
    <row r="84" spans="19:20" x14ac:dyDescent="0.3">
      <c r="S84" s="8" t="s">
        <v>54</v>
      </c>
      <c r="T84" s="17">
        <v>1116.5785599999999</v>
      </c>
    </row>
    <row r="85" spans="19:20" x14ac:dyDescent="0.3">
      <c r="S85" s="8" t="s">
        <v>55</v>
      </c>
      <c r="T85" s="17">
        <v>957.59551999999996</v>
      </c>
    </row>
    <row r="86" spans="19:20" x14ac:dyDescent="0.3">
      <c r="S86" s="8" t="s">
        <v>100</v>
      </c>
      <c r="T86" s="17">
        <v>1351.1204</v>
      </c>
    </row>
    <row r="87" spans="19:20" x14ac:dyDescent="0.3">
      <c r="S87" s="8" t="s">
        <v>56</v>
      </c>
      <c r="T87" s="17">
        <v>424.29061000000002</v>
      </c>
    </row>
    <row r="88" spans="19:20" x14ac:dyDescent="0.3">
      <c r="S88" s="8" t="s">
        <v>35</v>
      </c>
      <c r="T88" s="8" t="s">
        <v>35</v>
      </c>
    </row>
  </sheetData>
  <sheetProtection algorithmName="SHA-512" hashValue="u4I3EfY5rqKCwT6z2Pc7SBOrqfnrpqaPRkkTh/ErX4IEixOVzGpee3E0yg2ZiX4WZAgnzh57P2FLx413OcpgLw==" saltValue="q4jnYdHF1oOF9irJ1Ww3z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Details</vt:lpstr>
      <vt:lpstr>Door Details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 Chidgupkar</dc:creator>
  <cp:lastModifiedBy>Anish</cp:lastModifiedBy>
  <dcterms:created xsi:type="dcterms:W3CDTF">2019-08-13T07:27:57Z</dcterms:created>
  <dcterms:modified xsi:type="dcterms:W3CDTF">2023-07-17T08:35:09Z</dcterms:modified>
</cp:coreProperties>
</file>